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05-国民健康保険\05-保険税\00-01-税額計算\ホームページ税額計算シート\R08\"/>
    </mc:Choice>
  </mc:AlternateContent>
  <xr:revisionPtr revIDLastSave="0" documentId="13_ncr:1_{64C757CC-FC94-4B9E-AA0B-F5891E43CF6D}" xr6:coauthVersionLast="47" xr6:coauthVersionMax="47" xr10:uidLastSave="{00000000-0000-0000-0000-000000000000}"/>
  <bookViews>
    <workbookView xWindow="-120" yWindow="-120" windowWidth="20730" windowHeight="11040" tabRatio="586" xr2:uid="{00000000-000D-0000-FFFF-FFFF00000000}"/>
  </bookViews>
  <sheets>
    <sheet name="Ｒ８国保税額試算シート" sheetId="4" r:id="rId1"/>
    <sheet name="税額計算シート" sheetId="6" state="hidden" r:id="rId2"/>
    <sheet name="年金所得計算シート" sheetId="2" state="hidden" r:id="rId3"/>
    <sheet name="給与所得計算シート" sheetId="1" state="hidden" r:id="rId4"/>
    <sheet name="リスト" sheetId="5" state="hidden" r:id="rId5"/>
    <sheet name="変更点" sheetId="7" state="hidden" r:id="rId6"/>
  </sheets>
  <definedNames>
    <definedName name="_xlnm.Print_Area" localSheetId="0">'Ｒ８国保税額試算シート'!$A$1:$AN$39</definedName>
    <definedName name="_xlnm.Print_Area" localSheetId="1">税額計算シート!$A$1:$AD$24</definedName>
    <definedName name="擬制世帯主">リスト!$E$2:$E$5</definedName>
    <definedName name="世帯区分">リスト!$E$1:$F$1</definedName>
    <definedName name="普通世帯主">リスト!$F$2:$F$4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6" l="1"/>
  <c r="I10" i="6" s="1"/>
  <c r="AI11" i="4"/>
  <c r="O12" i="5" l="1"/>
  <c r="O14" i="5"/>
  <c r="O2" i="5"/>
  <c r="O3" i="5"/>
  <c r="O4" i="5"/>
  <c r="O13" i="5"/>
  <c r="O15" i="5"/>
  <c r="AI8" i="4" l="1"/>
  <c r="AD8" i="4"/>
  <c r="Y8" i="4"/>
  <c r="T8" i="4"/>
  <c r="T17" i="4"/>
  <c r="AD11" i="4"/>
  <c r="Y11" i="4"/>
  <c r="T11" i="4"/>
  <c r="E2" i="2" l="1"/>
  <c r="G6" i="2" l="1"/>
  <c r="G5" i="2"/>
  <c r="G4" i="2"/>
  <c r="G3" i="2"/>
  <c r="A2" i="2" l="1"/>
  <c r="C4" i="2" l="1"/>
  <c r="C3" i="2"/>
  <c r="C5" i="2"/>
  <c r="C6" i="2"/>
  <c r="B20" i="4"/>
  <c r="B18" i="4"/>
  <c r="B16" i="4"/>
  <c r="B14" i="4"/>
  <c r="B12" i="4"/>
  <c r="B10" i="4"/>
  <c r="A16" i="6" l="1"/>
  <c r="N16" i="6" s="1"/>
  <c r="E44" i="2" l="1"/>
  <c r="A44" i="2"/>
  <c r="A50" i="1"/>
  <c r="Q16" i="6"/>
  <c r="M16" i="6" s="1"/>
  <c r="L16" i="6" s="1"/>
  <c r="Q15" i="6"/>
  <c r="Q14" i="6"/>
  <c r="Q13" i="6"/>
  <c r="Q12" i="6"/>
  <c r="Q11" i="6"/>
  <c r="Q10" i="6"/>
  <c r="C52" i="1" l="1"/>
  <c r="C51" i="1"/>
  <c r="Q17" i="6"/>
  <c r="G48" i="2"/>
  <c r="G47" i="2"/>
  <c r="G46" i="2"/>
  <c r="G45" i="2"/>
  <c r="C46" i="2"/>
  <c r="C47" i="2"/>
  <c r="C48" i="2"/>
  <c r="C45" i="2"/>
  <c r="C55" i="1"/>
  <c r="C54" i="1"/>
  <c r="C53" i="1"/>
  <c r="M15" i="5"/>
  <c r="M14" i="5"/>
  <c r="M13" i="5"/>
  <c r="M12" i="5"/>
  <c r="L14" i="5"/>
  <c r="L13" i="5"/>
  <c r="L12" i="5"/>
  <c r="L15" i="5"/>
  <c r="L32" i="4" l="1"/>
  <c r="L33" i="4"/>
  <c r="L31" i="4"/>
  <c r="E35" i="4"/>
  <c r="E34" i="4"/>
  <c r="E33" i="4"/>
  <c r="E32" i="4"/>
  <c r="E31" i="4"/>
  <c r="AH1" i="4" l="1"/>
  <c r="N4" i="5" l="1"/>
  <c r="N3" i="5"/>
  <c r="N2" i="5"/>
  <c r="M4" i="5"/>
  <c r="M3" i="5"/>
  <c r="M2" i="5"/>
  <c r="L8" i="5"/>
  <c r="L7" i="5"/>
  <c r="L6" i="5"/>
  <c r="L2" i="5"/>
  <c r="L3" i="5"/>
  <c r="L4" i="5"/>
  <c r="A37" i="2"/>
  <c r="A30" i="2"/>
  <c r="A23" i="2"/>
  <c r="E37" i="2"/>
  <c r="E30" i="2"/>
  <c r="E23" i="2"/>
  <c r="E16" i="2"/>
  <c r="A16" i="2"/>
  <c r="E9" i="2"/>
  <c r="A9" i="2"/>
  <c r="A42" i="1"/>
  <c r="A34" i="1"/>
  <c r="C44" i="1" l="1"/>
  <c r="C43" i="1"/>
  <c r="C36" i="1"/>
  <c r="C35" i="1"/>
  <c r="G41" i="2"/>
  <c r="G40" i="2"/>
  <c r="G39" i="2"/>
  <c r="G38" i="2"/>
  <c r="G34" i="2"/>
  <c r="G33" i="2"/>
  <c r="G32" i="2"/>
  <c r="G31" i="2"/>
  <c r="G27" i="2"/>
  <c r="G24" i="2"/>
  <c r="G26" i="2"/>
  <c r="G25" i="2"/>
  <c r="G18" i="2"/>
  <c r="G17" i="2"/>
  <c r="G20" i="2"/>
  <c r="G19" i="2"/>
  <c r="G13" i="2"/>
  <c r="G12" i="2"/>
  <c r="G11" i="2"/>
  <c r="G10" i="2"/>
  <c r="C34" i="2"/>
  <c r="C31" i="2"/>
  <c r="C32" i="2"/>
  <c r="C33" i="2"/>
  <c r="C38" i="2"/>
  <c r="C39" i="2"/>
  <c r="C40" i="2"/>
  <c r="C41" i="2"/>
  <c r="C25" i="2"/>
  <c r="C27" i="2"/>
  <c r="C24" i="2"/>
  <c r="C26" i="2"/>
  <c r="C20" i="2"/>
  <c r="C19" i="2"/>
  <c r="C18" i="2"/>
  <c r="C17" i="2"/>
  <c r="C13" i="2"/>
  <c r="C11" i="2"/>
  <c r="C12" i="2"/>
  <c r="C10" i="2"/>
  <c r="C47" i="1"/>
  <c r="C46" i="1"/>
  <c r="C45" i="1"/>
  <c r="C37" i="1"/>
  <c r="C39" i="1"/>
  <c r="C38" i="1"/>
  <c r="L34" i="4"/>
  <c r="Q6" i="6"/>
  <c r="R7" i="6" s="1"/>
  <c r="F26" i="4"/>
  <c r="X15" i="6" l="1"/>
  <c r="X16" i="6" s="1"/>
  <c r="Y16" i="6"/>
  <c r="Y17" i="6" s="1"/>
  <c r="W14" i="6"/>
  <c r="Z17" i="6"/>
  <c r="Z16" i="6" s="1"/>
  <c r="W17" i="6" l="1"/>
  <c r="X17" i="6"/>
  <c r="X14" i="6" s="1"/>
  <c r="W16" i="6"/>
  <c r="W15" i="6"/>
  <c r="Y15" i="6"/>
  <c r="W13" i="6" l="1"/>
  <c r="A15" i="6"/>
  <c r="N15" i="6" s="1"/>
  <c r="M15" i="6" s="1"/>
  <c r="L15" i="6" s="1"/>
  <c r="A14" i="6"/>
  <c r="N14" i="6" s="1"/>
  <c r="M14" i="6" s="1"/>
  <c r="L14" i="6" s="1"/>
  <c r="A13" i="6"/>
  <c r="N13" i="6" s="1"/>
  <c r="M13" i="6" s="1"/>
  <c r="L13" i="6" s="1"/>
  <c r="A12" i="6"/>
  <c r="N12" i="6" s="1"/>
  <c r="M12" i="6" s="1"/>
  <c r="L12" i="6" s="1"/>
  <c r="A11" i="6"/>
  <c r="N11" i="6" s="1"/>
  <c r="M11" i="6" s="1"/>
  <c r="L11" i="6" s="1"/>
  <c r="A10" i="6"/>
  <c r="M10" i="6" s="1"/>
  <c r="A26" i="1"/>
  <c r="A18" i="1"/>
  <c r="A10" i="1"/>
  <c r="A2" i="1"/>
  <c r="C28" i="1" l="1"/>
  <c r="C27" i="1"/>
  <c r="C20" i="1"/>
  <c r="C19" i="1"/>
  <c r="C12" i="1"/>
  <c r="C11" i="1"/>
  <c r="C7" i="1"/>
  <c r="C3" i="1"/>
  <c r="L10" i="6"/>
  <c r="L17" i="6" s="1"/>
  <c r="M17" i="6"/>
  <c r="C31" i="1"/>
  <c r="C30" i="1"/>
  <c r="C29" i="1"/>
  <c r="C23" i="1"/>
  <c r="C21" i="1"/>
  <c r="C22" i="1"/>
  <c r="C15" i="1"/>
  <c r="C14" i="1"/>
  <c r="C13" i="1"/>
  <c r="C4" i="1"/>
  <c r="C5" i="1"/>
  <c r="C6" i="1"/>
  <c r="G10" i="6"/>
  <c r="E10" i="6"/>
  <c r="G15" i="6"/>
  <c r="E15" i="6"/>
  <c r="J13" i="6"/>
  <c r="I13" i="6" s="1"/>
  <c r="E13" i="6"/>
  <c r="G13" i="6"/>
  <c r="J14" i="6"/>
  <c r="E14" i="6"/>
  <c r="G14" i="6"/>
  <c r="G16" i="6"/>
  <c r="E16" i="6"/>
  <c r="G12" i="6"/>
  <c r="E12" i="6"/>
  <c r="G11" i="6"/>
  <c r="E11" i="6"/>
  <c r="J11" i="6"/>
  <c r="I11" i="6" s="1"/>
  <c r="J15" i="6"/>
  <c r="I15" i="6" s="1"/>
  <c r="J16" i="6"/>
  <c r="I16" i="6" s="1"/>
  <c r="J12" i="6"/>
  <c r="I12" i="6" s="1"/>
  <c r="D18" i="1"/>
  <c r="H44" i="2"/>
  <c r="AK16" i="6" s="1"/>
  <c r="D10" i="1" l="1"/>
  <c r="E10" i="1" s="1"/>
  <c r="F10" i="1" s="1"/>
  <c r="H2" i="2"/>
  <c r="H23" i="2"/>
  <c r="H30" i="2"/>
  <c r="AK14" i="6" s="1"/>
  <c r="D42" i="1"/>
  <c r="E42" i="1" s="1"/>
  <c r="D26" i="1"/>
  <c r="F26" i="1" s="1"/>
  <c r="AJ13" i="6" s="1"/>
  <c r="F18" i="1"/>
  <c r="AJ12" i="6" s="1"/>
  <c r="H37" i="2"/>
  <c r="I14" i="6"/>
  <c r="R13" i="4" s="1"/>
  <c r="H16" i="2"/>
  <c r="R12" i="4"/>
  <c r="J17" i="6"/>
  <c r="H9" i="2"/>
  <c r="AK11" i="6" s="1"/>
  <c r="G17" i="6"/>
  <c r="D34" i="1"/>
  <c r="E18" i="1"/>
  <c r="E17" i="6"/>
  <c r="AI12" i="4" l="1"/>
  <c r="AK10" i="6"/>
  <c r="I9" i="4"/>
  <c r="I37" i="2"/>
  <c r="J37" i="2" s="1"/>
  <c r="AK15" i="6"/>
  <c r="I23" i="2"/>
  <c r="J23" i="2" s="1"/>
  <c r="AK13" i="6"/>
  <c r="I13" i="4"/>
  <c r="AK12" i="6"/>
  <c r="AJ11" i="6"/>
  <c r="T12" i="4"/>
  <c r="I11" i="4"/>
  <c r="I9" i="2"/>
  <c r="J9" i="2" s="1"/>
  <c r="E26" i="1"/>
  <c r="I15" i="4"/>
  <c r="F42" i="1"/>
  <c r="AJ15" i="6" s="1"/>
  <c r="I17" i="6"/>
  <c r="AD12" i="4"/>
  <c r="I16" i="2"/>
  <c r="J16" i="2" s="1"/>
  <c r="Y12" i="4"/>
  <c r="I19" i="4"/>
  <c r="I30" i="2"/>
  <c r="J30" i="2" s="1"/>
  <c r="I17" i="4"/>
  <c r="I2" i="2"/>
  <c r="J2" i="2" s="1"/>
  <c r="E34" i="1"/>
  <c r="AL15" i="6" l="1"/>
  <c r="AL12" i="6"/>
  <c r="AL11" i="6"/>
  <c r="F11" i="4" s="1"/>
  <c r="P11" i="6" s="1"/>
  <c r="AL13" i="6"/>
  <c r="F34" i="1"/>
  <c r="AJ14" i="6" s="1"/>
  <c r="F19" i="4" l="1"/>
  <c r="P15" i="6" s="1"/>
  <c r="F15" i="4"/>
  <c r="P13" i="6" s="1"/>
  <c r="F13" i="4"/>
  <c r="P12" i="6" s="1"/>
  <c r="B11" i="6"/>
  <c r="C11" i="6" s="1"/>
  <c r="K11" i="6" s="1"/>
  <c r="AG11" i="6"/>
  <c r="AH11" i="6" s="1"/>
  <c r="AL14" i="6"/>
  <c r="D11" i="6" l="1"/>
  <c r="F17" i="4"/>
  <c r="P14" i="6" s="1"/>
  <c r="B15" i="6"/>
  <c r="C15" i="6" s="1"/>
  <c r="K15" i="6" s="1"/>
  <c r="AG15" i="6"/>
  <c r="AH15" i="6" s="1"/>
  <c r="B13" i="6"/>
  <c r="C13" i="6" s="1"/>
  <c r="K13" i="6" s="1"/>
  <c r="AG13" i="6"/>
  <c r="AH13" i="6" s="1"/>
  <c r="B12" i="6"/>
  <c r="C12" i="6" s="1"/>
  <c r="K12" i="6" s="1"/>
  <c r="AG12" i="6"/>
  <c r="AH12" i="6" s="1"/>
  <c r="H15" i="6"/>
  <c r="H11" i="6"/>
  <c r="F11" i="6"/>
  <c r="D15" i="6" l="1"/>
  <c r="D13" i="6"/>
  <c r="F12" i="6"/>
  <c r="F15" i="6"/>
  <c r="O15" i="6" s="1"/>
  <c r="B14" i="6"/>
  <c r="C14" i="6" s="1"/>
  <c r="AG14" i="6"/>
  <c r="AH14" i="6" s="1"/>
  <c r="F13" i="6"/>
  <c r="H13" i="6"/>
  <c r="H12" i="6"/>
  <c r="D12" i="6"/>
  <c r="O11" i="6"/>
  <c r="D2" i="1"/>
  <c r="H14" i="6" l="1"/>
  <c r="K14" i="6"/>
  <c r="F14" i="6"/>
  <c r="O13" i="6"/>
  <c r="D14" i="6"/>
  <c r="O12" i="6"/>
  <c r="E2" i="1"/>
  <c r="F2" i="1" s="1"/>
  <c r="AJ10" i="6" s="1"/>
  <c r="O14" i="6" l="1"/>
  <c r="V13" i="6"/>
  <c r="V17" i="6" s="1"/>
  <c r="AA17" i="6"/>
  <c r="AC18" i="6"/>
  <c r="V16" i="6" l="1"/>
  <c r="V15" i="6"/>
  <c r="V14" i="6"/>
  <c r="V12" i="6"/>
  <c r="D50" i="1" l="1"/>
  <c r="F50" i="1" s="1"/>
  <c r="AJ16" i="6" s="1"/>
  <c r="E50" i="1" l="1"/>
  <c r="I21" i="4" l="1"/>
  <c r="I44" i="2"/>
  <c r="J44" i="2" s="1"/>
  <c r="AL16" i="6" l="1"/>
  <c r="F21" i="4" l="1"/>
  <c r="P16" i="6" s="1"/>
  <c r="B16" i="6" l="1"/>
  <c r="C16" i="6" s="1"/>
  <c r="K16" i="6" s="1"/>
  <c r="AG16" i="6"/>
  <c r="AH16" i="6" s="1"/>
  <c r="H16" i="6"/>
  <c r="U12" i="6"/>
  <c r="D16" i="6" l="1"/>
  <c r="F16" i="6"/>
  <c r="U17" i="6"/>
  <c r="U16" i="6"/>
  <c r="U15" i="6"/>
  <c r="U14" i="6"/>
  <c r="U13" i="6"/>
  <c r="U11" i="6"/>
  <c r="O16" i="6" l="1"/>
  <c r="AL10" i="6"/>
  <c r="F9" i="4" l="1"/>
  <c r="P10" i="6" s="1"/>
  <c r="AG10" i="6" l="1"/>
  <c r="AH10" i="6" s="1"/>
  <c r="AI17" i="6" s="1"/>
  <c r="B10" i="6"/>
  <c r="P17" i="6"/>
  <c r="C22" i="6" l="1"/>
  <c r="C21" i="6"/>
  <c r="C10" i="6"/>
  <c r="B17" i="6"/>
  <c r="K10" i="6" l="1"/>
  <c r="K17" i="6" s="1"/>
  <c r="AI9" i="4" s="1"/>
  <c r="Q14" i="4"/>
  <c r="H10" i="6"/>
  <c r="H17" i="6" s="1"/>
  <c r="AD9" i="4" s="1"/>
  <c r="F10" i="6"/>
  <c r="F17" i="6" s="1"/>
  <c r="Y9" i="4" s="1"/>
  <c r="D10" i="6"/>
  <c r="AI14" i="4" l="1"/>
  <c r="AI15" i="4" s="1"/>
  <c r="AI20" i="4"/>
  <c r="T20" i="4"/>
  <c r="Y20" i="4"/>
  <c r="AD14" i="4"/>
  <c r="AD15" i="4" s="1"/>
  <c r="AD21" i="4" s="1"/>
  <c r="Y14" i="4"/>
  <c r="Y15" i="4" s="1"/>
  <c r="Q18" i="4"/>
  <c r="T14" i="4"/>
  <c r="T15" i="4" s="1"/>
  <c r="T18" i="4"/>
  <c r="T19" i="4" s="1"/>
  <c r="O10" i="6"/>
  <c r="O17" i="6" s="1"/>
  <c r="D17" i="6"/>
  <c r="T9" i="4" s="1"/>
  <c r="AI21" i="4" l="1"/>
  <c r="Y21" i="4"/>
  <c r="T21" i="4"/>
  <c r="AD25" i="4" l="1"/>
  <c r="AD26" i="4" s="1"/>
  <c r="J26" i="4"/>
  <c r="R8" i="6" s="1"/>
  <c r="T11" i="6" s="1"/>
  <c r="AB18" i="6"/>
  <c r="J34" i="4" s="1"/>
  <c r="T17" i="6" l="1"/>
  <c r="J33" i="4" s="1"/>
  <c r="T12" i="6"/>
  <c r="C33" i="4" s="1"/>
  <c r="C32" i="4"/>
  <c r="T15" i="6"/>
  <c r="J31" i="4" s="1"/>
  <c r="T16" i="6"/>
  <c r="J32" i="4" s="1"/>
  <c r="T14" i="6"/>
  <c r="C35" i="4" s="1"/>
  <c r="T13" i="6"/>
  <c r="C34" i="4" s="1"/>
  <c r="T10" i="6" l="1"/>
  <c r="C31" i="4" s="1"/>
  <c r="J3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南房総市役所</author>
    <author>Windows ユーザー</author>
  </authors>
  <commentList>
    <comment ref="A4" authorId="0" shapeId="0" xr:uid="{00000000-0006-0000-0000-000001000000}">
      <text>
        <r>
          <rPr>
            <sz val="12"/>
            <color indexed="81"/>
            <rFont val="ＭＳ Ｐゴシック"/>
            <family val="3"/>
            <charset val="128"/>
          </rPr>
          <t>他健康保険の資格喪失日や当市への転入日が含まれる月を選んでください。</t>
        </r>
      </text>
    </comment>
    <comment ref="K4" authorId="0" shapeId="0" xr:uid="{00000000-0006-0000-0000-000002000000}">
      <text>
        <r>
          <rPr>
            <sz val="12"/>
            <color indexed="81"/>
            <rFont val="ＭＳ Ｐゴシック"/>
            <family val="3"/>
            <charset val="128"/>
          </rPr>
          <t>当市への届出月（届出予定月）を選んでください。</t>
        </r>
        <r>
          <rPr>
            <sz val="9"/>
            <color indexed="81"/>
            <rFont val="ＭＳ Ｐゴシック"/>
            <family val="3"/>
            <charset val="128"/>
          </rPr>
          <t xml:space="preserve">
</t>
        </r>
      </text>
    </comment>
    <comment ref="B8" authorId="0" shapeId="0" xr:uid="{00000000-0006-0000-0000-000003000000}">
      <text>
        <r>
          <rPr>
            <sz val="12"/>
            <color indexed="81"/>
            <rFont val="ＭＳ Ｐゴシック"/>
            <family val="3"/>
            <charset val="128"/>
          </rPr>
          <t>世帯主が国民健康保険に加入する場合は「普通世帯主」を、加入しない場合は「擬制世帯主」を選んでください。</t>
        </r>
        <r>
          <rPr>
            <sz val="9"/>
            <color indexed="81"/>
            <rFont val="ＭＳ Ｐゴシック"/>
            <family val="3"/>
            <charset val="128"/>
          </rPr>
          <t xml:space="preserve">
</t>
        </r>
      </text>
    </comment>
    <comment ref="D8" authorId="1" shapeId="0" xr:uid="{00000000-0006-0000-0000-000004000000}">
      <text>
        <r>
          <rPr>
            <sz val="12"/>
            <color indexed="81"/>
            <rFont val="MS P ゴシック"/>
            <family val="3"/>
            <charset val="128"/>
          </rPr>
          <t>平成20年4月2日以降に生まれた方は「該当」を選んでください。</t>
        </r>
      </text>
    </comment>
    <comment ref="F8" authorId="0" shapeId="0" xr:uid="{00000000-0006-0000-0000-000005000000}">
      <text>
        <r>
          <rPr>
            <sz val="12"/>
            <color indexed="81"/>
            <rFont val="ＭＳ Ｐゴシック"/>
            <family val="3"/>
            <charset val="128"/>
          </rPr>
          <t>・令和7年1月1日から12月31日までに受けた給与の総支払い額（複数ある場合は、その合計）を入力してください。
・令和7年分給与所得の源泉徴収票がある場合は、「支払金額」の数字を転記してください。</t>
        </r>
      </text>
    </comment>
    <comment ref="H8" authorId="0" shapeId="0" xr:uid="{00000000-0006-0000-0000-000006000000}">
      <text>
        <r>
          <rPr>
            <sz val="12"/>
            <color indexed="81"/>
            <rFont val="ＭＳ Ｐゴシック"/>
            <family val="3"/>
            <charset val="128"/>
          </rPr>
          <t>非自発的理由により離職された方（特例対象被保険者に該当する方）は、「該当」を選んでください。（詳細は、特例についてをご覧ください。）</t>
        </r>
        <r>
          <rPr>
            <sz val="9"/>
            <color indexed="81"/>
            <rFont val="ＭＳ Ｐゴシック"/>
            <family val="3"/>
            <charset val="128"/>
          </rPr>
          <t xml:space="preserve">
</t>
        </r>
      </text>
    </comment>
    <comment ref="I8" authorId="0" shapeId="0" xr:uid="{00000000-0006-0000-0000-000007000000}">
      <text>
        <r>
          <rPr>
            <sz val="12"/>
            <color indexed="81"/>
            <rFont val="ＭＳ Ｐゴシック"/>
            <family val="3"/>
            <charset val="128"/>
          </rPr>
          <t>・令和7年1月1日から12月31日までに受けた公的年金等の総支払い額（複数ある場合は、その合計）を入力してください。
（注意）</t>
        </r>
        <r>
          <rPr>
            <sz val="9"/>
            <color indexed="81"/>
            <rFont val="ＭＳ Ｐゴシック"/>
            <family val="3"/>
            <charset val="128"/>
          </rPr>
          <t xml:space="preserve">
</t>
        </r>
        <r>
          <rPr>
            <sz val="12"/>
            <color indexed="81"/>
            <rFont val="ＭＳ Ｐゴシック"/>
            <family val="3"/>
            <charset val="128"/>
          </rPr>
          <t>１．個人年金所得は、公的年金に含まれないため、その他の所得に入力してください。
２．障害年金・遺族年金等の非課税年金は、入力する必要はありません。</t>
        </r>
      </text>
    </comment>
    <comment ref="K8" authorId="0" shapeId="0" xr:uid="{00000000-0006-0000-0000-000008000000}">
      <text>
        <r>
          <rPr>
            <sz val="12"/>
            <color indexed="81"/>
            <rFont val="ＭＳ Ｐゴシック"/>
            <family val="3"/>
            <charset val="128"/>
          </rPr>
          <t>令和7年1月1日から12月31日までにあった、営業、不動産、農業所得等のいずれか（複数ある場合は合計）を入力してください。</t>
        </r>
        <r>
          <rPr>
            <sz val="9"/>
            <color indexed="81"/>
            <rFont val="ＭＳ Ｐゴシック"/>
            <family val="3"/>
            <charset val="128"/>
          </rPr>
          <t xml:space="preserve">
</t>
        </r>
      </text>
    </comment>
    <comment ref="B9" authorId="0" shapeId="0" xr:uid="{00000000-0006-0000-0000-000009000000}">
      <text>
        <r>
          <rPr>
            <sz val="12"/>
            <color indexed="81"/>
            <rFont val="ＭＳ Ｐゴシック"/>
            <family val="3"/>
            <charset val="128"/>
          </rPr>
          <t>世帯主が該当する年齢の範囲を選んでください。</t>
        </r>
        <r>
          <rPr>
            <sz val="9"/>
            <color indexed="81"/>
            <rFont val="ＭＳ Ｐゴシック"/>
            <family val="3"/>
            <charset val="128"/>
          </rPr>
          <t xml:space="preserve">
</t>
        </r>
      </text>
    </comment>
    <comment ref="B11" authorId="0" shapeId="0" xr:uid="{00000000-0006-0000-0000-00000A000000}">
      <text>
        <r>
          <rPr>
            <sz val="12"/>
            <color indexed="81"/>
            <rFont val="ＭＳ Ｐゴシック"/>
            <family val="3"/>
            <charset val="128"/>
          </rPr>
          <t>加入する方の年齢の範囲を選んでください。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H9" authorId="0" shapeId="0" xr:uid="{00000000-0006-0000-0100-000001000000}">
      <text>
        <r>
          <rPr>
            <sz val="9"/>
            <color indexed="81"/>
            <rFont val="MS P ゴシック"/>
            <family val="3"/>
            <charset val="128"/>
          </rPr>
          <t xml:space="preserve">・給与所得者等の数について
給与所得と年金所得の両方あるものは給与所得者１名としてカウントし、公的年金等所得者としてはカウントしない
</t>
        </r>
      </text>
    </comment>
  </commentList>
</comments>
</file>

<file path=xl/sharedStrings.xml><?xml version="1.0" encoding="utf-8"?>
<sst xmlns="http://schemas.openxmlformats.org/spreadsheetml/2006/main" count="368" uniqueCount="176">
  <si>
    <t>給与収入</t>
    <rPh sb="0" eb="2">
      <t>キュウヨ</t>
    </rPh>
    <rPh sb="2" eb="4">
      <t>シュウニュウ</t>
    </rPh>
    <phoneticPr fontId="3"/>
  </si>
  <si>
    <t>給与所得</t>
    <rPh sb="0" eb="2">
      <t>キュウヨ</t>
    </rPh>
    <rPh sb="2" eb="4">
      <t>ショトク</t>
    </rPh>
    <phoneticPr fontId="3"/>
  </si>
  <si>
    <t>年金収入</t>
    <rPh sb="0" eb="2">
      <t>ネンキン</t>
    </rPh>
    <rPh sb="2" eb="4">
      <t>シュウニュウ</t>
    </rPh>
    <phoneticPr fontId="3"/>
  </si>
  <si>
    <t>年金所得</t>
    <rPh sb="0" eb="2">
      <t>ネンキン</t>
    </rPh>
    <rPh sb="2" eb="4">
      <t>ショトク</t>
    </rPh>
    <phoneticPr fontId="3"/>
  </si>
  <si>
    <t>６５歳未満</t>
    <rPh sb="2" eb="5">
      <t>サイミマン</t>
    </rPh>
    <phoneticPr fontId="3"/>
  </si>
  <si>
    <t>６５歳以上</t>
    <rPh sb="2" eb="3">
      <t>サイ</t>
    </rPh>
    <rPh sb="3" eb="5">
      <t>イジョウ</t>
    </rPh>
    <phoneticPr fontId="3"/>
  </si>
  <si>
    <t>対象者</t>
    <rPh sb="0" eb="3">
      <t>タイショウシャ</t>
    </rPh>
    <phoneticPr fontId="3"/>
  </si>
  <si>
    <t>世帯主</t>
    <rPh sb="0" eb="3">
      <t>セタイヌシ</t>
    </rPh>
    <phoneticPr fontId="3"/>
  </si>
  <si>
    <t>加入者</t>
    <rPh sb="0" eb="3">
      <t>カニュウシャ</t>
    </rPh>
    <phoneticPr fontId="3"/>
  </si>
  <si>
    <t>円</t>
    <rPh sb="0" eb="1">
      <t>エン</t>
    </rPh>
    <phoneticPr fontId="3"/>
  </si>
  <si>
    <t>月から国民健康保険に加入</t>
    <rPh sb="0" eb="1">
      <t>ツキ</t>
    </rPh>
    <rPh sb="3" eb="5">
      <t>コクミン</t>
    </rPh>
    <rPh sb="5" eb="7">
      <t>ケンコウ</t>
    </rPh>
    <rPh sb="7" eb="9">
      <t>ホケン</t>
    </rPh>
    <rPh sb="10" eb="12">
      <t>カニュウ</t>
    </rPh>
    <phoneticPr fontId="3"/>
  </si>
  <si>
    <t>月</t>
    <rPh sb="0" eb="1">
      <t>ツキ</t>
    </rPh>
    <phoneticPr fontId="3"/>
  </si>
  <si>
    <t>普通世帯主</t>
    <rPh sb="0" eb="2">
      <t>フツウ</t>
    </rPh>
    <rPh sb="2" eb="5">
      <t>セタイヌシ</t>
    </rPh>
    <phoneticPr fontId="3"/>
  </si>
  <si>
    <t>擬制世帯主</t>
    <rPh sb="0" eb="2">
      <t>ギセイ</t>
    </rPh>
    <rPh sb="2" eb="5">
      <t>セタイヌシ</t>
    </rPh>
    <phoneticPr fontId="3"/>
  </si>
  <si>
    <t>３９歳以下</t>
    <rPh sb="2" eb="3">
      <t>サイ</t>
    </rPh>
    <rPh sb="3" eb="5">
      <t>イカ</t>
    </rPh>
    <phoneticPr fontId="3"/>
  </si>
  <si>
    <t>４０歳以上６４歳以下</t>
    <rPh sb="2" eb="3">
      <t>サイ</t>
    </rPh>
    <rPh sb="3" eb="5">
      <t>イジョウ</t>
    </rPh>
    <rPh sb="7" eb="8">
      <t>サイ</t>
    </rPh>
    <rPh sb="8" eb="10">
      <t>イカ</t>
    </rPh>
    <phoneticPr fontId="3"/>
  </si>
  <si>
    <t>６５歳以上７４歳以下</t>
    <rPh sb="2" eb="3">
      <t>サイ</t>
    </rPh>
    <rPh sb="3" eb="5">
      <t>イジョウ</t>
    </rPh>
    <rPh sb="7" eb="8">
      <t>サイ</t>
    </rPh>
    <rPh sb="8" eb="10">
      <t>イカ</t>
    </rPh>
    <phoneticPr fontId="3"/>
  </si>
  <si>
    <t>非自発的失業区分</t>
    <rPh sb="0" eb="1">
      <t>ヒ</t>
    </rPh>
    <rPh sb="1" eb="4">
      <t>ジハツテキ</t>
    </rPh>
    <rPh sb="4" eb="6">
      <t>シツギョウ</t>
    </rPh>
    <rPh sb="6" eb="8">
      <t>クブン</t>
    </rPh>
    <phoneticPr fontId="3"/>
  </si>
  <si>
    <t>該当</t>
    <rPh sb="0" eb="2">
      <t>ガイトウ</t>
    </rPh>
    <phoneticPr fontId="3"/>
  </si>
  <si>
    <t>非該当</t>
    <rPh sb="0" eb="3">
      <t>ヒガイトウ</t>
    </rPh>
    <phoneticPr fontId="3"/>
  </si>
  <si>
    <t>国民健康保険税試算税額</t>
    <rPh sb="0" eb="2">
      <t>コクミン</t>
    </rPh>
    <rPh sb="2" eb="4">
      <t>ケンコウ</t>
    </rPh>
    <rPh sb="4" eb="6">
      <t>ホケン</t>
    </rPh>
    <rPh sb="6" eb="7">
      <t>ゼイ</t>
    </rPh>
    <rPh sb="7" eb="9">
      <t>シサン</t>
    </rPh>
    <rPh sb="9" eb="11">
      <t>ゼイガク</t>
    </rPh>
    <phoneticPr fontId="3"/>
  </si>
  <si>
    <t>国民健康保険に加入する月、加入者の年齢及び収入等を
黄色の枠に入力します。</t>
    <rPh sb="0" eb="2">
      <t>コクミン</t>
    </rPh>
    <rPh sb="2" eb="4">
      <t>ケンコウ</t>
    </rPh>
    <rPh sb="4" eb="6">
      <t>ホケン</t>
    </rPh>
    <rPh sb="7" eb="9">
      <t>カニュウ</t>
    </rPh>
    <rPh sb="11" eb="12">
      <t>ツキ</t>
    </rPh>
    <rPh sb="13" eb="16">
      <t>カニュウシャ</t>
    </rPh>
    <rPh sb="17" eb="19">
      <t>ネンレイ</t>
    </rPh>
    <rPh sb="19" eb="20">
      <t>オヨ</t>
    </rPh>
    <rPh sb="21" eb="23">
      <t>シュウニュウ</t>
    </rPh>
    <rPh sb="23" eb="24">
      <t>トウ</t>
    </rPh>
    <rPh sb="26" eb="28">
      <t>キイロ</t>
    </rPh>
    <rPh sb="29" eb="30">
      <t>ワク</t>
    </rPh>
    <rPh sb="31" eb="33">
      <t>ニュウリョク</t>
    </rPh>
    <phoneticPr fontId="3"/>
  </si>
  <si>
    <t>所得割</t>
    <rPh sb="0" eb="3">
      <t>ショトクワリ</t>
    </rPh>
    <phoneticPr fontId="3"/>
  </si>
  <si>
    <t>算出額</t>
    <rPh sb="0" eb="2">
      <t>サンシュツ</t>
    </rPh>
    <rPh sb="2" eb="3">
      <t>ガク</t>
    </rPh>
    <phoneticPr fontId="3"/>
  </si>
  <si>
    <t>均等割</t>
    <rPh sb="0" eb="3">
      <t>キントウワリ</t>
    </rPh>
    <phoneticPr fontId="3"/>
  </si>
  <si>
    <t>軽減</t>
    <rPh sb="0" eb="2">
      <t>ケイゲン</t>
    </rPh>
    <phoneticPr fontId="3"/>
  </si>
  <si>
    <t>平等割</t>
    <rPh sb="0" eb="2">
      <t>ビョウドウ</t>
    </rPh>
    <rPh sb="2" eb="3">
      <t>ワリ</t>
    </rPh>
    <phoneticPr fontId="3"/>
  </si>
  <si>
    <t>内訳算出額小計</t>
    <rPh sb="0" eb="2">
      <t>ウチワケ</t>
    </rPh>
    <rPh sb="2" eb="4">
      <t>サンシュツ</t>
    </rPh>
    <rPh sb="4" eb="5">
      <t>ガク</t>
    </rPh>
    <rPh sb="5" eb="6">
      <t>ショウ</t>
    </rPh>
    <rPh sb="6" eb="7">
      <t>ケイ</t>
    </rPh>
    <phoneticPr fontId="3"/>
  </si>
  <si>
    <t>上限額</t>
    <rPh sb="0" eb="3">
      <t>ジョウゲンガク</t>
    </rPh>
    <phoneticPr fontId="3"/>
  </si>
  <si>
    <t>加入者１人につき、下に示す額</t>
    <rPh sb="0" eb="3">
      <t>カニュウシャ</t>
    </rPh>
    <rPh sb="3" eb="5">
      <t>ヒトリ</t>
    </rPh>
    <rPh sb="9" eb="10">
      <t>シタ</t>
    </rPh>
    <rPh sb="11" eb="12">
      <t>シメ</t>
    </rPh>
    <rPh sb="13" eb="14">
      <t>ガク</t>
    </rPh>
    <phoneticPr fontId="3"/>
  </si>
  <si>
    <t>１世帯につき、下に示す額</t>
    <rPh sb="1" eb="3">
      <t>セタイ</t>
    </rPh>
    <rPh sb="7" eb="8">
      <t>シタ</t>
    </rPh>
    <rPh sb="9" eb="10">
      <t>シメ</t>
    </rPh>
    <rPh sb="11" eb="12">
      <t>ガク</t>
    </rPh>
    <phoneticPr fontId="3"/>
  </si>
  <si>
    <t>支援金分（全員）</t>
    <rPh sb="0" eb="2">
      <t>シエン</t>
    </rPh>
    <rPh sb="2" eb="3">
      <t>キン</t>
    </rPh>
    <rPh sb="3" eb="4">
      <t>ブン</t>
    </rPh>
    <rPh sb="5" eb="7">
      <t>ゼンイン</t>
    </rPh>
    <phoneticPr fontId="3"/>
  </si>
  <si>
    <t>介護分（該当者）</t>
    <rPh sb="0" eb="2">
      <t>カイゴ</t>
    </rPh>
    <rPh sb="2" eb="3">
      <t>ブン</t>
    </rPh>
    <rPh sb="4" eb="7">
      <t>ガイトウシャ</t>
    </rPh>
    <phoneticPr fontId="3"/>
  </si>
  <si>
    <t>医療分(全員)</t>
    <rPh sb="0" eb="2">
      <t>イリョウ</t>
    </rPh>
    <rPh sb="2" eb="3">
      <t>ブン</t>
    </rPh>
    <rPh sb="4" eb="6">
      <t>ゼンイン</t>
    </rPh>
    <phoneticPr fontId="3"/>
  </si>
  <si>
    <t>◎１年間分の国民健康保険税額算定内訳</t>
    <rPh sb="2" eb="4">
      <t>ネンカン</t>
    </rPh>
    <rPh sb="4" eb="5">
      <t>ブン</t>
    </rPh>
    <rPh sb="6" eb="8">
      <t>コクミン</t>
    </rPh>
    <rPh sb="8" eb="10">
      <t>ケンコウ</t>
    </rPh>
    <rPh sb="10" eb="12">
      <t>ホケン</t>
    </rPh>
    <rPh sb="12" eb="13">
      <t>ゼイ</t>
    </rPh>
    <rPh sb="13" eb="14">
      <t>ガク</t>
    </rPh>
    <rPh sb="14" eb="16">
      <t>サンテイ</t>
    </rPh>
    <rPh sb="16" eb="18">
      <t>ウチワケ</t>
    </rPh>
    <phoneticPr fontId="3"/>
  </si>
  <si>
    <t>介護該当者</t>
    <rPh sb="0" eb="2">
      <t>カイゴ</t>
    </rPh>
    <rPh sb="2" eb="5">
      <t>ガイトウシャ</t>
    </rPh>
    <phoneticPr fontId="3"/>
  </si>
  <si>
    <t>　１カ月あたり</t>
    <phoneticPr fontId="3"/>
  </si>
  <si>
    <t>特例</t>
    <rPh sb="0" eb="2">
      <t>トクレイ</t>
    </rPh>
    <phoneticPr fontId="3"/>
  </si>
  <si>
    <t>その他の所得</t>
    <rPh sb="2" eb="3">
      <t>タ</t>
    </rPh>
    <rPh sb="4" eb="6">
      <t>ショトク</t>
    </rPh>
    <phoneticPr fontId="3"/>
  </si>
  <si>
    <t>世帯主</t>
    <rPh sb="0" eb="3">
      <t>セタイヌシ</t>
    </rPh>
    <phoneticPr fontId="3"/>
  </si>
  <si>
    <t>加入者１</t>
    <rPh sb="0" eb="3">
      <t>カニュウシャ</t>
    </rPh>
    <phoneticPr fontId="3"/>
  </si>
  <si>
    <t>加入者２</t>
    <rPh sb="0" eb="3">
      <t>カニュウシャ</t>
    </rPh>
    <phoneticPr fontId="3"/>
  </si>
  <si>
    <t>加入者３</t>
    <rPh sb="0" eb="3">
      <t>カニュウシャ</t>
    </rPh>
    <phoneticPr fontId="3"/>
  </si>
  <si>
    <t>加入者４</t>
    <rPh sb="0" eb="3">
      <t>カニュウシャ</t>
    </rPh>
    <phoneticPr fontId="3"/>
  </si>
  <si>
    <t>加入者５</t>
    <rPh sb="0" eb="3">
      <t>カニュウシャ</t>
    </rPh>
    <phoneticPr fontId="3"/>
  </si>
  <si>
    <t>加入者６</t>
    <rPh sb="0" eb="3">
      <t>カニュウシャ</t>
    </rPh>
    <phoneticPr fontId="3"/>
  </si>
  <si>
    <t>給与所得</t>
  </si>
  <si>
    <t>給与所得</t>
    <rPh sb="0" eb="2">
      <t>キュウヨ</t>
    </rPh>
    <rPh sb="2" eb="4">
      <t>ショトク</t>
    </rPh>
    <phoneticPr fontId="3"/>
  </si>
  <si>
    <t>特例該当給与所得</t>
  </si>
  <si>
    <t>特例該当給与所得</t>
    <rPh sb="0" eb="2">
      <t>トクレイ</t>
    </rPh>
    <rPh sb="2" eb="4">
      <t>ガイトウ</t>
    </rPh>
    <rPh sb="4" eb="6">
      <t>キュウヨ</t>
    </rPh>
    <rPh sb="6" eb="8">
      <t>ショトク</t>
    </rPh>
    <phoneticPr fontId="3"/>
  </si>
  <si>
    <t>年金所得</t>
    <rPh sb="0" eb="2">
      <t>ネンキン</t>
    </rPh>
    <rPh sb="2" eb="4">
      <t>ショトク</t>
    </rPh>
    <phoneticPr fontId="3"/>
  </si>
  <si>
    <t>軽減判定
年金所得</t>
    <rPh sb="0" eb="2">
      <t>ケイゲン</t>
    </rPh>
    <rPh sb="2" eb="4">
      <t>ハンテイ</t>
    </rPh>
    <rPh sb="5" eb="7">
      <t>ネンキン</t>
    </rPh>
    <rPh sb="7" eb="9">
      <t>ショトク</t>
    </rPh>
    <phoneticPr fontId="3"/>
  </si>
  <si>
    <t>国保税額の計算表</t>
    <rPh sb="0" eb="3">
      <t>コクホゼイ</t>
    </rPh>
    <rPh sb="3" eb="4">
      <t>ガク</t>
    </rPh>
    <rPh sb="5" eb="8">
      <t>ケイサンヒョウ</t>
    </rPh>
    <phoneticPr fontId="19"/>
  </si>
  <si>
    <t>欄は、変更可能</t>
    <rPh sb="0" eb="1">
      <t>ラン</t>
    </rPh>
    <rPh sb="3" eb="5">
      <t>ヘンコウ</t>
    </rPh>
    <rPh sb="5" eb="7">
      <t>カノウ</t>
    </rPh>
    <phoneticPr fontId="19"/>
  </si>
  <si>
    <t>税　　率</t>
    <rPh sb="0" eb="1">
      <t>ゼイ</t>
    </rPh>
    <rPh sb="3" eb="4">
      <t>リツ</t>
    </rPh>
    <phoneticPr fontId="19"/>
  </si>
  <si>
    <t>医療費分</t>
    <rPh sb="0" eb="2">
      <t>イリョウ</t>
    </rPh>
    <rPh sb="2" eb="3">
      <t>ヒ</t>
    </rPh>
    <rPh sb="3" eb="4">
      <t>ブン</t>
    </rPh>
    <phoneticPr fontId="19"/>
  </si>
  <si>
    <t>支援金分</t>
    <rPh sb="0" eb="2">
      <t>シエン</t>
    </rPh>
    <rPh sb="2" eb="3">
      <t>キン</t>
    </rPh>
    <rPh sb="3" eb="4">
      <t>ブン</t>
    </rPh>
    <phoneticPr fontId="19"/>
  </si>
  <si>
    <t>介護分</t>
    <rPh sb="0" eb="2">
      <t>カイゴ</t>
    </rPh>
    <rPh sb="2" eb="3">
      <t>ブン</t>
    </rPh>
    <phoneticPr fontId="19"/>
  </si>
  <si>
    <t>所得割率</t>
    <rPh sb="0" eb="3">
      <t>ショトクワリ</t>
    </rPh>
    <rPh sb="3" eb="4">
      <t>リツ</t>
    </rPh>
    <phoneticPr fontId="19"/>
  </si>
  <si>
    <t>均等割額</t>
    <rPh sb="0" eb="3">
      <t>キントウワリ</t>
    </rPh>
    <rPh sb="3" eb="4">
      <t>ガク</t>
    </rPh>
    <phoneticPr fontId="19"/>
  </si>
  <si>
    <t>－</t>
    <phoneticPr fontId="19"/>
  </si>
  <si>
    <t>－</t>
    <phoneticPr fontId="19"/>
  </si>
  <si>
    <t>平等割額</t>
    <rPh sb="0" eb="3">
      <t>ビョウドウワリ</t>
    </rPh>
    <rPh sb="3" eb="4">
      <t>ガク</t>
    </rPh>
    <phoneticPr fontId="19"/>
  </si>
  <si>
    <t>氏　名</t>
    <rPh sb="0" eb="1">
      <t>シ</t>
    </rPh>
    <rPh sb="2" eb="3">
      <t>メイ</t>
    </rPh>
    <phoneticPr fontId="19"/>
  </si>
  <si>
    <t>総所得金額等</t>
    <rPh sb="0" eb="3">
      <t>ソウショトク</t>
    </rPh>
    <rPh sb="3" eb="5">
      <t>キンガク</t>
    </rPh>
    <rPh sb="5" eb="6">
      <t>トウ</t>
    </rPh>
    <phoneticPr fontId="19"/>
  </si>
  <si>
    <t>総所得金額等
－基礎控除額</t>
    <rPh sb="0" eb="3">
      <t>ソウショトク</t>
    </rPh>
    <rPh sb="3" eb="5">
      <t>キンガク</t>
    </rPh>
    <rPh sb="5" eb="6">
      <t>トウ</t>
    </rPh>
    <rPh sb="8" eb="10">
      <t>キソ</t>
    </rPh>
    <rPh sb="10" eb="12">
      <t>コウジョ</t>
    </rPh>
    <rPh sb="12" eb="13">
      <t>ガク</t>
    </rPh>
    <phoneticPr fontId="19"/>
  </si>
  <si>
    <t>介護該当</t>
    <rPh sb="0" eb="2">
      <t>カイゴ</t>
    </rPh>
    <rPh sb="2" eb="4">
      <t>ガイトウ</t>
    </rPh>
    <phoneticPr fontId="19"/>
  </si>
  <si>
    <t>合計</t>
    <rPh sb="0" eb="2">
      <t>ゴウケイ</t>
    </rPh>
    <phoneticPr fontId="19"/>
  </si>
  <si>
    <t>所得割額</t>
    <rPh sb="0" eb="3">
      <t>ショトクワリ</t>
    </rPh>
    <rPh sb="3" eb="4">
      <t>ガク</t>
    </rPh>
    <phoneticPr fontId="19"/>
  </si>
  <si>
    <t>軽減対象の計算</t>
    <rPh sb="0" eb="2">
      <t>ケイゲン</t>
    </rPh>
    <rPh sb="2" eb="4">
      <t>タイショウ</t>
    </rPh>
    <rPh sb="5" eb="7">
      <t>ケイサン</t>
    </rPh>
    <phoneticPr fontId="19"/>
  </si>
  <si>
    <t>割</t>
    <rPh sb="0" eb="1">
      <t>ワ</t>
    </rPh>
    <phoneticPr fontId="19"/>
  </si>
  <si>
    <t>特例判定後所得</t>
    <rPh sb="0" eb="2">
      <t>トクレイ</t>
    </rPh>
    <rPh sb="2" eb="4">
      <t>ハンテイ</t>
    </rPh>
    <rPh sb="4" eb="5">
      <t>ゴ</t>
    </rPh>
    <rPh sb="5" eb="7">
      <t>ショトク</t>
    </rPh>
    <phoneticPr fontId="3"/>
  </si>
  <si>
    <t>軽減判定所得</t>
    <rPh sb="0" eb="2">
      <t>ケイゲン</t>
    </rPh>
    <rPh sb="2" eb="4">
      <t>ハンテイ</t>
    </rPh>
    <rPh sb="4" eb="6">
      <t>ショトク</t>
    </rPh>
    <phoneticPr fontId="19"/>
  </si>
  <si>
    <t>軽減区分</t>
    <rPh sb="0" eb="2">
      <t>ケイゲン</t>
    </rPh>
    <rPh sb="2" eb="4">
      <t>クブン</t>
    </rPh>
    <phoneticPr fontId="3"/>
  </si>
  <si>
    <t>均等割</t>
    <rPh sb="0" eb="3">
      <t>キントウワリ</t>
    </rPh>
    <phoneticPr fontId="3"/>
  </si>
  <si>
    <t>平等割</t>
    <rPh sb="0" eb="2">
      <t>ビョウドウ</t>
    </rPh>
    <rPh sb="2" eb="3">
      <t>ワリ</t>
    </rPh>
    <phoneticPr fontId="3"/>
  </si>
  <si>
    <t>軽減額（医療）</t>
    <rPh sb="0" eb="2">
      <t>ケイゲン</t>
    </rPh>
    <rPh sb="2" eb="3">
      <t>ガク</t>
    </rPh>
    <rPh sb="4" eb="6">
      <t>イリョウ</t>
    </rPh>
    <phoneticPr fontId="3"/>
  </si>
  <si>
    <t>軽減額（後期）</t>
    <rPh sb="0" eb="2">
      <t>ケイゲン</t>
    </rPh>
    <rPh sb="2" eb="3">
      <t>ガク</t>
    </rPh>
    <rPh sb="4" eb="6">
      <t>コウキ</t>
    </rPh>
    <phoneticPr fontId="3"/>
  </si>
  <si>
    <t>軽減額（介護）</t>
    <rPh sb="0" eb="2">
      <t>ケイゲン</t>
    </rPh>
    <rPh sb="2" eb="3">
      <t>ガク</t>
    </rPh>
    <rPh sb="4" eb="6">
      <t>カイゴ</t>
    </rPh>
    <phoneticPr fontId="3"/>
  </si>
  <si>
    <t>非該当</t>
    <rPh sb="0" eb="3">
      <t>ヒガイトウ</t>
    </rPh>
    <phoneticPr fontId="3"/>
  </si>
  <si>
    <t>国保加入届出月</t>
    <rPh sb="0" eb="2">
      <t>コクホ</t>
    </rPh>
    <rPh sb="2" eb="4">
      <t>カニュウ</t>
    </rPh>
    <rPh sb="4" eb="6">
      <t>トドケデ</t>
    </rPh>
    <rPh sb="6" eb="7">
      <t>ツキ</t>
    </rPh>
    <phoneticPr fontId="3"/>
  </si>
  <si>
    <t>月</t>
    <rPh sb="0" eb="1">
      <t>ガツ</t>
    </rPh>
    <phoneticPr fontId="3"/>
  </si>
  <si>
    <t>加入期間算定税額</t>
    <rPh sb="0" eb="2">
      <t>カニュウ</t>
    </rPh>
    <rPh sb="2" eb="4">
      <t>キカン</t>
    </rPh>
    <rPh sb="4" eb="6">
      <t>サンテイ</t>
    </rPh>
    <rPh sb="6" eb="7">
      <t>ゼイ</t>
    </rPh>
    <rPh sb="7" eb="8">
      <t>ガク</t>
    </rPh>
    <phoneticPr fontId="3"/>
  </si>
  <si>
    <t>国保加入月数</t>
    <phoneticPr fontId="3"/>
  </si>
  <si>
    <t>ヶ月あたりの税額は、</t>
    <phoneticPr fontId="3"/>
  </si>
  <si>
    <t>円</t>
    <rPh sb="0" eb="1">
      <t>エン</t>
    </rPh>
    <phoneticPr fontId="3"/>
  </si>
  <si>
    <t>年 間 税 額</t>
    <phoneticPr fontId="3"/>
  </si>
  <si>
    <t>納期別の保険税（普通徴収）</t>
    <rPh sb="0" eb="2">
      <t>ノウキ</t>
    </rPh>
    <rPh sb="2" eb="3">
      <t>ベツ</t>
    </rPh>
    <rPh sb="4" eb="6">
      <t>ホケン</t>
    </rPh>
    <rPh sb="6" eb="7">
      <t>ゼイ</t>
    </rPh>
    <rPh sb="8" eb="10">
      <t>フツウ</t>
    </rPh>
    <rPh sb="10" eb="12">
      <t>チョウシュウ</t>
    </rPh>
    <phoneticPr fontId="3"/>
  </si>
  <si>
    <t>第１期</t>
    <rPh sb="0" eb="1">
      <t>ダイ</t>
    </rPh>
    <rPh sb="2" eb="3">
      <t>キ</t>
    </rPh>
    <phoneticPr fontId="3"/>
  </si>
  <si>
    <t>第２期</t>
    <rPh sb="0" eb="1">
      <t>ダイ</t>
    </rPh>
    <rPh sb="2" eb="3">
      <t>キ</t>
    </rPh>
    <phoneticPr fontId="3"/>
  </si>
  <si>
    <t>第３期</t>
    <rPh sb="0" eb="1">
      <t>ダイ</t>
    </rPh>
    <rPh sb="2" eb="3">
      <t>キ</t>
    </rPh>
    <phoneticPr fontId="3"/>
  </si>
  <si>
    <t>第４期</t>
    <rPh sb="0" eb="1">
      <t>ダイ</t>
    </rPh>
    <rPh sb="2" eb="3">
      <t>キ</t>
    </rPh>
    <phoneticPr fontId="3"/>
  </si>
  <si>
    <t>第５期</t>
    <rPh sb="0" eb="1">
      <t>ダイ</t>
    </rPh>
    <rPh sb="2" eb="3">
      <t>キ</t>
    </rPh>
    <phoneticPr fontId="3"/>
  </si>
  <si>
    <t>第６期</t>
    <rPh sb="0" eb="1">
      <t>ダイ</t>
    </rPh>
    <rPh sb="2" eb="3">
      <t>キ</t>
    </rPh>
    <phoneticPr fontId="3"/>
  </si>
  <si>
    <t>第７期</t>
    <rPh sb="0" eb="1">
      <t>ダイ</t>
    </rPh>
    <rPh sb="2" eb="3">
      <t>キ</t>
    </rPh>
    <phoneticPr fontId="3"/>
  </si>
  <si>
    <t>第８期</t>
    <rPh sb="0" eb="1">
      <t>ダイ</t>
    </rPh>
    <rPh sb="2" eb="3">
      <t>キ</t>
    </rPh>
    <phoneticPr fontId="3"/>
  </si>
  <si>
    <t>随時期</t>
    <rPh sb="0" eb="2">
      <t>ズイジ</t>
    </rPh>
    <rPh sb="2" eb="3">
      <t>キ</t>
    </rPh>
    <phoneticPr fontId="3"/>
  </si>
  <si>
    <t>納期</t>
    <rPh sb="0" eb="2">
      <t>ノウキ</t>
    </rPh>
    <phoneticPr fontId="3"/>
  </si>
  <si>
    <t>保険税</t>
    <rPh sb="0" eb="2">
      <t>ホケン</t>
    </rPh>
    <rPh sb="2" eb="3">
      <t>ゼイ</t>
    </rPh>
    <phoneticPr fontId="3"/>
  </si>
  <si>
    <t>納期限日</t>
    <rPh sb="0" eb="3">
      <t>ノウキゲン</t>
    </rPh>
    <rPh sb="3" eb="4">
      <t>ビ</t>
    </rPh>
    <phoneticPr fontId="3"/>
  </si>
  <si>
    <t>第７期</t>
  </si>
  <si>
    <t>第６期</t>
    <phoneticPr fontId="3"/>
  </si>
  <si>
    <t>第８期</t>
  </si>
  <si>
    <t>合計</t>
    <rPh sb="0" eb="2">
      <t>ゴウケイ</t>
    </rPh>
    <phoneticPr fontId="3"/>
  </si>
  <si>
    <t>届出月</t>
    <rPh sb="0" eb="2">
      <t>トドケデ</t>
    </rPh>
    <rPh sb="2" eb="3">
      <t>ツキ</t>
    </rPh>
    <phoneticPr fontId="3"/>
  </si>
  <si>
    <t>納付回数</t>
    <rPh sb="0" eb="2">
      <t>ノウフ</t>
    </rPh>
    <rPh sb="2" eb="4">
      <t>カイスウ</t>
    </rPh>
    <phoneticPr fontId="3"/>
  </si>
  <si>
    <t>A</t>
    <phoneticPr fontId="3"/>
  </si>
  <si>
    <t>B</t>
    <phoneticPr fontId="3"/>
  </si>
  <si>
    <t>注意事項</t>
    <rPh sb="0" eb="2">
      <t>チュウイ</t>
    </rPh>
    <rPh sb="2" eb="4">
      <t>ジコウ</t>
    </rPh>
    <phoneticPr fontId="3"/>
  </si>
  <si>
    <t>入力方法</t>
    <rPh sb="0" eb="2">
      <t>ニュウリョク</t>
    </rPh>
    <rPh sb="2" eb="4">
      <t>ホウホウ</t>
    </rPh>
    <phoneticPr fontId="3"/>
  </si>
  <si>
    <t>◎入力箇所は</t>
    <rPh sb="1" eb="3">
      <t>ニュウリョク</t>
    </rPh>
    <rPh sb="3" eb="5">
      <t>カショ</t>
    </rPh>
    <phoneticPr fontId="3"/>
  </si>
  <si>
    <t>の部分のみです。</t>
    <rPh sb="1" eb="3">
      <t>ブブン</t>
    </rPh>
    <phoneticPr fontId="3"/>
  </si>
  <si>
    <t>◎世帯主の基本情報は必ず入力してください。</t>
    <rPh sb="1" eb="4">
      <t>セタイヌシ</t>
    </rPh>
    <rPh sb="5" eb="7">
      <t>キホン</t>
    </rPh>
    <rPh sb="7" eb="9">
      <t>ジョウホウ</t>
    </rPh>
    <rPh sb="10" eb="11">
      <t>カナラ</t>
    </rPh>
    <rPh sb="12" eb="14">
      <t>ニュウリョク</t>
    </rPh>
    <phoneticPr fontId="3"/>
  </si>
  <si>
    <t>加入者①</t>
    <rPh sb="0" eb="3">
      <t>カニュウシャ</t>
    </rPh>
    <phoneticPr fontId="3"/>
  </si>
  <si>
    <t>加入者②</t>
    <rPh sb="0" eb="3">
      <t>カニュウシャ</t>
    </rPh>
    <phoneticPr fontId="3"/>
  </si>
  <si>
    <t>加入者③</t>
    <rPh sb="0" eb="3">
      <t>カニュウシャ</t>
    </rPh>
    <phoneticPr fontId="3"/>
  </si>
  <si>
    <t>加入者④</t>
    <rPh sb="0" eb="3">
      <t>カニュウシャ</t>
    </rPh>
    <phoneticPr fontId="3"/>
  </si>
  <si>
    <t>加入者⑤</t>
    <rPh sb="0" eb="3">
      <t>カニュウシャ</t>
    </rPh>
    <phoneticPr fontId="3"/>
  </si>
  <si>
    <t>加入者⑥</t>
    <rPh sb="0" eb="3">
      <t>カニュウシャ</t>
    </rPh>
    <phoneticPr fontId="3"/>
  </si>
  <si>
    <t>子どもの減免</t>
    <rPh sb="0" eb="1">
      <t>コ</t>
    </rPh>
    <rPh sb="4" eb="6">
      <t>ゲンメン</t>
    </rPh>
    <phoneticPr fontId="3"/>
  </si>
  <si>
    <t>該当</t>
    <rPh sb="0" eb="2">
      <t>ガイトウ</t>
    </rPh>
    <phoneticPr fontId="3"/>
  </si>
  <si>
    <t>子どもの均等割減免額</t>
    <rPh sb="0" eb="1">
      <t>コ</t>
    </rPh>
    <rPh sb="4" eb="7">
      <t>キントウワリ</t>
    </rPh>
    <rPh sb="7" eb="9">
      <t>ゲンメン</t>
    </rPh>
    <rPh sb="9" eb="10">
      <t>ガク</t>
    </rPh>
    <phoneticPr fontId="3"/>
  </si>
  <si>
    <t>子ども
の減免</t>
    <rPh sb="0" eb="1">
      <t>コ</t>
    </rPh>
    <rPh sb="5" eb="7">
      <t>ゲンメン</t>
    </rPh>
    <phoneticPr fontId="3"/>
  </si>
  <si>
    <t>円</t>
    <rPh sb="0" eb="1">
      <t>エン</t>
    </rPh>
    <phoneticPr fontId="3"/>
  </si>
  <si>
    <t>子ども
減免の
均等割</t>
    <rPh sb="0" eb="1">
      <t>コ</t>
    </rPh>
    <rPh sb="4" eb="6">
      <t>ゲンメン</t>
    </rPh>
    <rPh sb="8" eb="11">
      <t>キントウワリ</t>
    </rPh>
    <phoneticPr fontId="3"/>
  </si>
  <si>
    <t>７５歳以上</t>
    <rPh sb="2" eb="3">
      <t>サイ</t>
    </rPh>
    <rPh sb="3" eb="5">
      <t>イジョウ</t>
    </rPh>
    <phoneticPr fontId="3"/>
  </si>
  <si>
    <t>世帯員</t>
    <rPh sb="0" eb="3">
      <t>セタイイン</t>
    </rPh>
    <phoneticPr fontId="3"/>
  </si>
  <si>
    <t>※ 基礎控除額は、430,000円（地方税法第314条の2第2項に規定する控除額。合計所得2400万円以下の場合。）</t>
    <rPh sb="2" eb="4">
      <t>キソ</t>
    </rPh>
    <rPh sb="4" eb="6">
      <t>コウジョ</t>
    </rPh>
    <rPh sb="6" eb="7">
      <t>ガク</t>
    </rPh>
    <rPh sb="16" eb="17">
      <t>エン</t>
    </rPh>
    <rPh sb="41" eb="43">
      <t>ゴウケイ</t>
    </rPh>
    <rPh sb="43" eb="45">
      <t>ショトク</t>
    </rPh>
    <rPh sb="49" eb="51">
      <t>マンエン</t>
    </rPh>
    <rPh sb="51" eb="53">
      <t>イカ</t>
    </rPh>
    <rPh sb="54" eb="56">
      <t>バアイ</t>
    </rPh>
    <phoneticPr fontId="19"/>
  </si>
  <si>
    <t>給与所得者</t>
    <rPh sb="0" eb="2">
      <t>キュウヨ</t>
    </rPh>
    <rPh sb="2" eb="4">
      <t>ショトク</t>
    </rPh>
    <rPh sb="4" eb="5">
      <t>シャ</t>
    </rPh>
    <phoneticPr fontId="3"/>
  </si>
  <si>
    <t>年金所得者</t>
    <rPh sb="0" eb="2">
      <t>ネンキン</t>
    </rPh>
    <rPh sb="2" eb="5">
      <t>ショトクシャ</t>
    </rPh>
    <phoneticPr fontId="3"/>
  </si>
  <si>
    <t>計</t>
    <rPh sb="0" eb="1">
      <t>ケイ</t>
    </rPh>
    <phoneticPr fontId="3"/>
  </si>
  <si>
    <t>給与所得</t>
    <rPh sb="0" eb="2">
      <t>キュウヨ</t>
    </rPh>
    <rPh sb="2" eb="4">
      <t>ショトク</t>
    </rPh>
    <phoneticPr fontId="3"/>
  </si>
  <si>
    <t>年金所得</t>
    <rPh sb="0" eb="2">
      <t>ネンキン</t>
    </rPh>
    <rPh sb="2" eb="4">
      <t>ショトク</t>
    </rPh>
    <phoneticPr fontId="3"/>
  </si>
  <si>
    <t>〇所得金額調整控除（2）の計算</t>
    <rPh sb="1" eb="3">
      <t>ショトク</t>
    </rPh>
    <rPh sb="3" eb="5">
      <t>キンガク</t>
    </rPh>
    <rPh sb="5" eb="7">
      <t>チョウセイ</t>
    </rPh>
    <rPh sb="7" eb="9">
      <t>コウジョ</t>
    </rPh>
    <rPh sb="13" eb="15">
      <t>ケイサン</t>
    </rPh>
    <phoneticPr fontId="3"/>
  </si>
  <si>
    <t>調整控除</t>
    <rPh sb="0" eb="2">
      <t>チョウセイ</t>
    </rPh>
    <rPh sb="2" eb="4">
      <t>コウジョ</t>
    </rPh>
    <phoneticPr fontId="3"/>
  </si>
  <si>
    <t>〇軽減判定用給与所得者等の数</t>
    <rPh sb="1" eb="3">
      <t>ケイゲン</t>
    </rPh>
    <rPh sb="3" eb="5">
      <t>ハンテイ</t>
    </rPh>
    <rPh sb="5" eb="6">
      <t>ヨウ</t>
    </rPh>
    <rPh sb="6" eb="8">
      <t>キュウヨ</t>
    </rPh>
    <rPh sb="8" eb="10">
      <t>ショトク</t>
    </rPh>
    <rPh sb="10" eb="11">
      <t>シャ</t>
    </rPh>
    <rPh sb="11" eb="12">
      <t>トウ</t>
    </rPh>
    <rPh sb="13" eb="14">
      <t>カズ</t>
    </rPh>
    <phoneticPr fontId="3"/>
  </si>
  <si>
    <t>給与所得計算シート</t>
    <phoneticPr fontId="3"/>
  </si>
  <si>
    <t>年金所得計算シート</t>
    <phoneticPr fontId="3"/>
  </si>
  <si>
    <t>加入者各人の前年所得額から基礎控除43万円を引いた額に、下に示す率をかけた額</t>
    <rPh sb="0" eb="3">
      <t>カニュウシャ</t>
    </rPh>
    <rPh sb="3" eb="5">
      <t>カクジン</t>
    </rPh>
    <rPh sb="6" eb="8">
      <t>ゼンネン</t>
    </rPh>
    <rPh sb="8" eb="10">
      <t>ショトク</t>
    </rPh>
    <rPh sb="10" eb="11">
      <t>ガク</t>
    </rPh>
    <rPh sb="13" eb="15">
      <t>キソ</t>
    </rPh>
    <rPh sb="15" eb="17">
      <t>コウジョ</t>
    </rPh>
    <rPh sb="19" eb="21">
      <t>マンエン</t>
    </rPh>
    <rPh sb="22" eb="23">
      <t>ヒ</t>
    </rPh>
    <rPh sb="25" eb="26">
      <t>ガク</t>
    </rPh>
    <rPh sb="28" eb="29">
      <t>シタ</t>
    </rPh>
    <rPh sb="30" eb="31">
      <t>シメ</t>
    </rPh>
    <rPh sb="32" eb="33">
      <t>リツ</t>
    </rPh>
    <rPh sb="37" eb="38">
      <t>ガク</t>
    </rPh>
    <phoneticPr fontId="3"/>
  </si>
  <si>
    <t>◎計算した金額はあくまで概算額です。実際に課税される金額と異なる場合があります。
◎次のような場合、本シートでは試算できませんので、直接担当までお問い合わせください。
・加入期間内に加入者数が変わる場合
・加入期間内に｢３９歳から４０歳になる月」「６４歳から６５歳になる月」「７４歳から７５歳になる月」のいずれかが含まれる加入者がいる場合
・世帯内に後期高齢者医療保険に加入している方がいる場合
・分離課税所得や専従者給与・控除がある場合
・子ども・特別障害者等を有する者等の所得金額調整控除（給与収入850万円超）がある場合
・所得が1000万円を超える場合</t>
    <rPh sb="1" eb="3">
      <t>ケイサン</t>
    </rPh>
    <rPh sb="5" eb="7">
      <t>キンガク</t>
    </rPh>
    <rPh sb="12" eb="14">
      <t>ガイサン</t>
    </rPh>
    <rPh sb="14" eb="15">
      <t>ガク</t>
    </rPh>
    <rPh sb="18" eb="20">
      <t>ジッサイ</t>
    </rPh>
    <rPh sb="21" eb="23">
      <t>カゼイ</t>
    </rPh>
    <rPh sb="26" eb="28">
      <t>キンガク</t>
    </rPh>
    <rPh sb="29" eb="30">
      <t>コト</t>
    </rPh>
    <rPh sb="32" eb="34">
      <t>バアイ</t>
    </rPh>
    <rPh sb="42" eb="43">
      <t>ツギ</t>
    </rPh>
    <rPh sb="47" eb="49">
      <t>バアイ</t>
    </rPh>
    <rPh sb="50" eb="51">
      <t>ホン</t>
    </rPh>
    <rPh sb="56" eb="58">
      <t>シサン</t>
    </rPh>
    <rPh sb="66" eb="68">
      <t>チョクセツ</t>
    </rPh>
    <rPh sb="68" eb="70">
      <t>タントウ</t>
    </rPh>
    <rPh sb="73" eb="74">
      <t>ト</t>
    </rPh>
    <rPh sb="75" eb="76">
      <t>ア</t>
    </rPh>
    <rPh sb="85" eb="87">
      <t>カニュウ</t>
    </rPh>
    <rPh sb="173" eb="174">
      <t>ナイ</t>
    </rPh>
    <rPh sb="191" eb="192">
      <t>カタ</t>
    </rPh>
    <rPh sb="199" eb="201">
      <t>ブンリ</t>
    </rPh>
    <rPh sb="201" eb="203">
      <t>カゼイ</t>
    </rPh>
    <rPh sb="203" eb="205">
      <t>ショトク</t>
    </rPh>
    <rPh sb="206" eb="209">
      <t>センジュウシャ</t>
    </rPh>
    <rPh sb="209" eb="211">
      <t>キュウヨ</t>
    </rPh>
    <rPh sb="212" eb="214">
      <t>コウジョ</t>
    </rPh>
    <rPh sb="217" eb="219">
      <t>バアイ</t>
    </rPh>
    <rPh sb="261" eb="263">
      <t>バアイ</t>
    </rPh>
    <phoneticPr fontId="3"/>
  </si>
  <si>
    <t>なし</t>
    <phoneticPr fontId="3"/>
  </si>
  <si>
    <t>税額計算シート</t>
    <phoneticPr fontId="3"/>
  </si>
  <si>
    <t>リスト</t>
    <phoneticPr fontId="3"/>
  </si>
  <si>
    <t>・随時期納期限修正</t>
    <rPh sb="1" eb="3">
      <t>ズイジ</t>
    </rPh>
    <rPh sb="3" eb="4">
      <t>キ</t>
    </rPh>
    <rPh sb="4" eb="7">
      <t>ノウキゲン</t>
    </rPh>
    <rPh sb="7" eb="9">
      <t>シュウセイ</t>
    </rPh>
    <phoneticPr fontId="3"/>
  </si>
  <si>
    <t>【特例について】
「雇用保険受給資格者証」又は「雇用保険受給資格通知」をお持ちの方で、①及び②の要件を満たす場合、給与所得を30/100とみなして国民健康保険税額を計算します。
　①離職時年齢が６４歳以下　
　②離職理由が11,12,21,22,23,31,32,33,34のいずれか</t>
    <rPh sb="1" eb="3">
      <t>トクレイ</t>
    </rPh>
    <rPh sb="10" eb="12">
      <t>コヨウ</t>
    </rPh>
    <rPh sb="12" eb="14">
      <t>ホケン</t>
    </rPh>
    <rPh sb="14" eb="16">
      <t>ジュキュウ</t>
    </rPh>
    <rPh sb="16" eb="19">
      <t>シカクシャ</t>
    </rPh>
    <rPh sb="19" eb="20">
      <t>ショウ</t>
    </rPh>
    <rPh sb="21" eb="22">
      <t>マタ</t>
    </rPh>
    <rPh sb="37" eb="38">
      <t>モ</t>
    </rPh>
    <rPh sb="40" eb="41">
      <t>カタ</t>
    </rPh>
    <rPh sb="44" eb="45">
      <t>オヨ</t>
    </rPh>
    <rPh sb="48" eb="50">
      <t>ヨウケン</t>
    </rPh>
    <rPh sb="51" eb="52">
      <t>ミ</t>
    </rPh>
    <rPh sb="54" eb="56">
      <t>バアイ</t>
    </rPh>
    <rPh sb="57" eb="59">
      <t>キュウヨ</t>
    </rPh>
    <rPh sb="59" eb="61">
      <t>ショトク</t>
    </rPh>
    <rPh sb="73" eb="75">
      <t>コクミン</t>
    </rPh>
    <rPh sb="75" eb="77">
      <t>ケンコウ</t>
    </rPh>
    <rPh sb="77" eb="79">
      <t>ホケン</t>
    </rPh>
    <rPh sb="79" eb="81">
      <t>ゼイガク</t>
    </rPh>
    <rPh sb="82" eb="84">
      <t>ケイサン</t>
    </rPh>
    <rPh sb="91" eb="93">
      <t>リショク</t>
    </rPh>
    <rPh sb="93" eb="94">
      <t>ジ</t>
    </rPh>
    <rPh sb="94" eb="96">
      <t>ネンレイ</t>
    </rPh>
    <rPh sb="99" eb="102">
      <t>サイイカ</t>
    </rPh>
    <phoneticPr fontId="3"/>
  </si>
  <si>
    <t>給与所得者等</t>
    <rPh sb="0" eb="2">
      <t>キュウヨ</t>
    </rPh>
    <rPh sb="2" eb="4">
      <t>ショトク</t>
    </rPh>
    <rPh sb="4" eb="5">
      <t>シャ</t>
    </rPh>
    <rPh sb="5" eb="6">
      <t>トウ</t>
    </rPh>
    <phoneticPr fontId="19"/>
  </si>
  <si>
    <t>1人以下</t>
    <rPh sb="1" eb="2">
      <t>ニン</t>
    </rPh>
    <rPh sb="2" eb="4">
      <t>イカ</t>
    </rPh>
    <phoneticPr fontId="3"/>
  </si>
  <si>
    <t>2人以上</t>
    <rPh sb="1" eb="2">
      <t>ニン</t>
    </rPh>
    <rPh sb="2" eb="4">
      <t>イジョウ</t>
    </rPh>
    <phoneticPr fontId="3"/>
  </si>
  <si>
    <t>5割軽減</t>
    <rPh sb="1" eb="2">
      <t>ワリ</t>
    </rPh>
    <rPh sb="2" eb="4">
      <t>ケイゲン</t>
    </rPh>
    <phoneticPr fontId="3"/>
  </si>
  <si>
    <t>7割軽減</t>
    <phoneticPr fontId="3"/>
  </si>
  <si>
    <t>2割軽減</t>
    <rPh sb="1" eb="2">
      <t>ワリ</t>
    </rPh>
    <rPh sb="2" eb="4">
      <t>ケイゲン</t>
    </rPh>
    <phoneticPr fontId="3"/>
  </si>
  <si>
    <t>【税制改正等によるR5課税からの変更への対応】</t>
    <rPh sb="1" eb="3">
      <t>ゼイセイ</t>
    </rPh>
    <rPh sb="3" eb="5">
      <t>カイセイ</t>
    </rPh>
    <rPh sb="5" eb="6">
      <t>トウ</t>
    </rPh>
    <rPh sb="11" eb="13">
      <t>カゼイ</t>
    </rPh>
    <rPh sb="16" eb="18">
      <t>ヘンコウ</t>
    </rPh>
    <rPh sb="20" eb="22">
      <t>タイオウ</t>
    </rPh>
    <phoneticPr fontId="3"/>
  </si>
  <si>
    <t>・軽減判定所得修正（Ｃ２１・Ｃ２２セル）</t>
    <rPh sb="1" eb="3">
      <t>ケイゲン</t>
    </rPh>
    <rPh sb="3" eb="5">
      <t>ハンテイ</t>
    </rPh>
    <rPh sb="5" eb="7">
      <t>ショトク</t>
    </rPh>
    <rPh sb="7" eb="9">
      <t>シュウセイ</t>
    </rPh>
    <phoneticPr fontId="3"/>
  </si>
  <si>
    <t>子ども分</t>
    <rPh sb="0" eb="1">
      <t>コ</t>
    </rPh>
    <rPh sb="3" eb="4">
      <t>ブン</t>
    </rPh>
    <phoneticPr fontId="19"/>
  </si>
  <si>
    <t>医療分</t>
    <rPh sb="0" eb="2">
      <t>イリョウ</t>
    </rPh>
    <rPh sb="2" eb="3">
      <t>ブン</t>
    </rPh>
    <phoneticPr fontId="3"/>
  </si>
  <si>
    <t>支援金分</t>
    <rPh sb="0" eb="2">
      <t>シエン</t>
    </rPh>
    <rPh sb="2" eb="3">
      <t>キン</t>
    </rPh>
    <rPh sb="3" eb="4">
      <t>ブン</t>
    </rPh>
    <phoneticPr fontId="3"/>
  </si>
  <si>
    <t>介護分</t>
    <rPh sb="0" eb="2">
      <t>カイゴ</t>
    </rPh>
    <rPh sb="2" eb="3">
      <t>ブン</t>
    </rPh>
    <phoneticPr fontId="3"/>
  </si>
  <si>
    <t>所得割</t>
    <rPh sb="0" eb="2">
      <t>ショトク</t>
    </rPh>
    <rPh sb="2" eb="3">
      <t>ワリ</t>
    </rPh>
    <phoneticPr fontId="3"/>
  </si>
  <si>
    <t>子ども分</t>
    <rPh sb="0" eb="1">
      <t>コ</t>
    </rPh>
    <rPh sb="3" eb="4">
      <t>ブン</t>
    </rPh>
    <phoneticPr fontId="3"/>
  </si>
  <si>
    <t>円</t>
    <rPh sb="0" eb="1">
      <t>エン</t>
    </rPh>
    <phoneticPr fontId="3"/>
  </si>
  <si>
    <t>軽減額（子ども）</t>
    <rPh sb="0" eb="2">
      <t>ケイゲン</t>
    </rPh>
    <rPh sb="2" eb="3">
      <t>ガク</t>
    </rPh>
    <rPh sb="4" eb="5">
      <t>コ</t>
    </rPh>
    <phoneticPr fontId="3"/>
  </si>
  <si>
    <t>子ども該当</t>
    <rPh sb="0" eb="1">
      <t>コ</t>
    </rPh>
    <rPh sb="3" eb="5">
      <t>ガイトウ</t>
    </rPh>
    <phoneticPr fontId="19"/>
  </si>
  <si>
    <t>加入者</t>
    <rPh sb="0" eb="3">
      <t>カニュウシャ</t>
    </rPh>
    <phoneticPr fontId="19"/>
  </si>
  <si>
    <t>令和８年度　南房総市国民健康保険税額試算シート</t>
    <rPh sb="0" eb="2">
      <t>レイワ</t>
    </rPh>
    <rPh sb="3" eb="5">
      <t>ネンド</t>
    </rPh>
    <rPh sb="6" eb="10">
      <t>ミナミボウソウシ</t>
    </rPh>
    <rPh sb="10" eb="12">
      <t>コクミン</t>
    </rPh>
    <rPh sb="12" eb="14">
      <t>ケンコウ</t>
    </rPh>
    <rPh sb="14" eb="16">
      <t>ホケン</t>
    </rPh>
    <rPh sb="16" eb="17">
      <t>ゼイ</t>
    </rPh>
    <rPh sb="17" eb="18">
      <t>ガク</t>
    </rPh>
    <rPh sb="18" eb="20">
      <t>シサン</t>
    </rPh>
    <phoneticPr fontId="3"/>
  </si>
  <si>
    <r>
      <t>年齢</t>
    </r>
    <r>
      <rPr>
        <b/>
        <sz val="12"/>
        <color rgb="FFFF0000"/>
        <rFont val="ＭＳ 明朝"/>
        <family val="1"/>
        <charset val="128"/>
      </rPr>
      <t>(令和8年1月1日現在)</t>
    </r>
    <rPh sb="0" eb="2">
      <t>ネンレイ</t>
    </rPh>
    <rPh sb="3" eb="5">
      <t>レイワ</t>
    </rPh>
    <rPh sb="6" eb="7">
      <t>ネン</t>
    </rPh>
    <rPh sb="8" eb="9">
      <t>ガツ</t>
    </rPh>
    <rPh sb="10" eb="11">
      <t>ヒ</t>
    </rPh>
    <rPh sb="11" eb="13">
      <t>ゲンザイ</t>
    </rPh>
    <phoneticPr fontId="3"/>
  </si>
  <si>
    <t>均等割※</t>
    <rPh sb="0" eb="3">
      <t>キントウワリ</t>
    </rPh>
    <phoneticPr fontId="3"/>
  </si>
  <si>
    <t>※均等割及び均等割軽減額には18歳以上均等割額を含みます。</t>
    <rPh sb="1" eb="4">
      <t>キントウワリ</t>
    </rPh>
    <rPh sb="4" eb="5">
      <t>オヨ</t>
    </rPh>
    <rPh sb="6" eb="9">
      <t>キントウワリ</t>
    </rPh>
    <rPh sb="9" eb="11">
      <t>ケイゲン</t>
    </rPh>
    <rPh sb="11" eb="12">
      <t>ガク</t>
    </rPh>
    <rPh sb="16" eb="17">
      <t>サイ</t>
    </rPh>
    <rPh sb="17" eb="19">
      <t>イジョウ</t>
    </rPh>
    <rPh sb="19" eb="22">
      <t>キントウワリ</t>
    </rPh>
    <rPh sb="22" eb="23">
      <t>ガク</t>
    </rPh>
    <rPh sb="24" eb="25">
      <t>フク</t>
    </rPh>
    <phoneticPr fontId="3"/>
  </si>
  <si>
    <t>うち均等割額1,500円</t>
    <rPh sb="2" eb="5">
      <t>キントウワリ</t>
    </rPh>
    <rPh sb="5" eb="6">
      <t>ガク</t>
    </rPh>
    <rPh sb="11" eb="12">
      <t>エン</t>
    </rPh>
    <phoneticPr fontId="3"/>
  </si>
  <si>
    <t>18歳以上均等割額100円</t>
    <rPh sb="2" eb="3">
      <t>サイ</t>
    </rPh>
    <rPh sb="3" eb="5">
      <t>イジョウ</t>
    </rPh>
    <rPh sb="5" eb="9">
      <t>キントウワリガク</t>
    </rPh>
    <rPh sb="12" eb="13">
      <t>エン</t>
    </rPh>
    <phoneticPr fontId="3"/>
  </si>
  <si>
    <t>子ども分（全員）</t>
    <rPh sb="0" eb="1">
      <t>コ</t>
    </rPh>
    <rPh sb="3" eb="4">
      <t>ブン</t>
    </rPh>
    <rPh sb="5" eb="7">
      <t>ゼンイン</t>
    </rPh>
    <phoneticPr fontId="3"/>
  </si>
  <si>
    <t>=IF(AND('Ｒ８国保税額試算シート'!D8=リスト!H12,'Ｒ８国保税額試算シート'!B8=リスト!F1),0,1)</t>
    <phoneticPr fontId="19"/>
  </si>
  <si>
    <t>Ｒ８国保税額試算シート</t>
    <phoneticPr fontId="3"/>
  </si>
  <si>
    <t>給与所得控除額変更</t>
    <rPh sb="0" eb="6">
      <t>キュウヨショトクコウジョ</t>
    </rPh>
    <rPh sb="6" eb="7">
      <t>ガク</t>
    </rPh>
    <rPh sb="7" eb="9">
      <t>ヘンコウ</t>
    </rPh>
    <phoneticPr fontId="3"/>
  </si>
  <si>
    <t>←190万以下一律65万控除となったため、4～8行目まで削除してください。（処理済み）</t>
    <rPh sb="4" eb="5">
      <t>マン</t>
    </rPh>
    <rPh sb="5" eb="7">
      <t>イカ</t>
    </rPh>
    <rPh sb="7" eb="9">
      <t>イチリツ</t>
    </rPh>
    <rPh sb="11" eb="12">
      <t>マン</t>
    </rPh>
    <rPh sb="12" eb="14">
      <t>コウジョ</t>
    </rPh>
    <rPh sb="24" eb="26">
      <t>ギョウメ</t>
    </rPh>
    <rPh sb="28" eb="30">
      <t>サクジョ</t>
    </rPh>
    <rPh sb="38" eb="40">
      <t>ショリ</t>
    </rPh>
    <rPh sb="40" eb="41">
      <t>ス</t>
    </rPh>
    <phoneticPr fontId="3"/>
  </si>
  <si>
    <t>R8.2月作業</t>
    <rPh sb="4" eb="5">
      <t>ガツ</t>
    </rPh>
    <rPh sb="5" eb="7">
      <t>サギョウ</t>
    </rPh>
    <phoneticPr fontId="3"/>
  </si>
  <si>
    <r>
      <t xml:space="preserve">・R7→R8時点（コメント欄も）、納期限修正
・子ども減免、平成19年4月2日以降に生まれた方⇒平成20年4月2日以降に生まれた方
・課税限度額修正：医療66万⇒67万円
</t>
    </r>
    <r>
      <rPr>
        <sz val="11"/>
        <color rgb="FFFF0000"/>
        <rFont val="ＭＳ Ｐゴシック"/>
        <family val="3"/>
        <charset val="128"/>
        <scheme val="minor"/>
      </rPr>
      <t>・子ども子育て支援金分追加　所得割率0.24％　均等割額1,500円　18歳以上均等割額100円　賦課限度額3万円
  18歳未満被保険者については、均等割賦課後に全額軽減する</t>
    </r>
    <rPh sb="13" eb="14">
      <t>ラン</t>
    </rPh>
    <rPh sb="17" eb="20">
      <t>ノウキゲン</t>
    </rPh>
    <rPh sb="24" eb="25">
      <t>コ</t>
    </rPh>
    <rPh sb="27" eb="29">
      <t>ゲンメン</t>
    </rPh>
    <rPh sb="72" eb="74">
      <t>シュウセイ</t>
    </rPh>
    <rPh sb="83" eb="84">
      <t>マン</t>
    </rPh>
    <rPh sb="87" eb="88">
      <t>コ</t>
    </rPh>
    <rPh sb="90" eb="92">
      <t>コソダ</t>
    </rPh>
    <rPh sb="93" eb="96">
      <t>シエンキン</t>
    </rPh>
    <rPh sb="96" eb="97">
      <t>ブン</t>
    </rPh>
    <rPh sb="97" eb="99">
      <t>ツイカ</t>
    </rPh>
    <rPh sb="100" eb="103">
      <t>ショトクワリ</t>
    </rPh>
    <rPh sb="103" eb="104">
      <t>リツ</t>
    </rPh>
    <rPh sb="110" eb="113">
      <t>キントウワリ</t>
    </rPh>
    <rPh sb="113" eb="114">
      <t>ガク</t>
    </rPh>
    <rPh sb="119" eb="120">
      <t>エン</t>
    </rPh>
    <rPh sb="123" eb="124">
      <t>サイ</t>
    </rPh>
    <rPh sb="124" eb="126">
      <t>イジョウ</t>
    </rPh>
    <rPh sb="126" eb="129">
      <t>キントウワリ</t>
    </rPh>
    <rPh sb="129" eb="130">
      <t>ガク</t>
    </rPh>
    <rPh sb="133" eb="134">
      <t>エン</t>
    </rPh>
    <rPh sb="135" eb="139">
      <t>フカゲンド</t>
    </rPh>
    <rPh sb="139" eb="140">
      <t>ガク</t>
    </rPh>
    <rPh sb="141" eb="143">
      <t>マンエン</t>
    </rPh>
    <rPh sb="148" eb="149">
      <t>サイ</t>
    </rPh>
    <rPh sb="149" eb="151">
      <t>ミマン</t>
    </rPh>
    <rPh sb="151" eb="155">
      <t>ヒホケンシャ</t>
    </rPh>
    <rPh sb="161" eb="164">
      <t>キントウワリ</t>
    </rPh>
    <rPh sb="164" eb="166">
      <t>フカ</t>
    </rPh>
    <rPh sb="166" eb="167">
      <t>ゴ</t>
    </rPh>
    <rPh sb="168" eb="170">
      <t>ゼンガク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</si>
</sst>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_ "/>
    <numFmt numFmtId="177" formatCode="#,##0_ "/>
    <numFmt numFmtId="178" formatCode="#,##0;\-0;;@"/>
    <numFmt numFmtId="179" formatCode="#,##0;&quot;▲ &quot;#,##0"/>
    <numFmt numFmtId="180" formatCode="#,##0_);[Red]\(#,##0\)"/>
    <numFmt numFmtId="181" formatCode="0_ "/>
  </numFmts>
  <fonts count="44">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12"/>
      <color theme="1"/>
      <name val="ＭＳ Ｐゴシック"/>
      <family val="2"/>
      <charset val="128"/>
      <scheme val="minor"/>
    </font>
    <font>
      <b/>
      <sz val="14"/>
      <color theme="1"/>
      <name val="ＭＳ Ｐゴシック"/>
      <family val="3"/>
      <charset val="128"/>
      <scheme val="minor"/>
    </font>
    <font>
      <b/>
      <sz val="12"/>
      <color theme="1"/>
      <name val="ＭＳ Ｐ明朝"/>
      <family val="1"/>
      <charset val="128"/>
    </font>
    <font>
      <b/>
      <sz val="12"/>
      <color theme="1"/>
      <name val="ＭＳ 明朝"/>
      <family val="1"/>
      <charset val="128"/>
    </font>
    <font>
      <sz val="12"/>
      <color theme="1"/>
      <name val="ＭＳ 明朝"/>
      <family val="1"/>
      <charset val="128"/>
    </font>
    <font>
      <sz val="11"/>
      <color theme="1"/>
      <name val="ＭＳ 明朝"/>
      <family val="1"/>
      <charset val="128"/>
    </font>
    <font>
      <b/>
      <sz val="11"/>
      <color theme="1"/>
      <name val="ＭＳ 明朝"/>
      <family val="1"/>
      <charset val="128"/>
    </font>
    <font>
      <sz val="9"/>
      <color indexed="81"/>
      <name val="ＭＳ Ｐゴシック"/>
      <family val="3"/>
      <charset val="128"/>
    </font>
    <font>
      <sz val="12"/>
      <color indexed="81"/>
      <name val="ＭＳ Ｐゴシック"/>
      <family val="3"/>
      <charset val="128"/>
    </font>
    <font>
      <b/>
      <sz val="12"/>
      <color rgb="FFFF0000"/>
      <name val="ＭＳ 明朝"/>
      <family val="1"/>
      <charset val="128"/>
    </font>
    <font>
      <sz val="12"/>
      <name val="ＭＳ 明朝"/>
      <family val="1"/>
      <charset val="128"/>
    </font>
    <font>
      <sz val="11"/>
      <name val="ＭＳ Ｐゴシック"/>
      <family val="2"/>
      <charset val="128"/>
      <scheme val="minor"/>
    </font>
    <font>
      <sz val="12"/>
      <name val="ＭＳ Ｐゴシック"/>
      <family val="2"/>
      <charset val="128"/>
      <scheme val="minor"/>
    </font>
    <font>
      <b/>
      <sz val="12"/>
      <name val="ＭＳ 明朝"/>
      <family val="1"/>
      <charset val="128"/>
    </font>
    <font>
      <sz val="18"/>
      <name val="ＭＳ ゴシック"/>
      <family val="3"/>
      <charset val="128"/>
    </font>
    <font>
      <sz val="6"/>
      <name val="ＭＳ 明朝"/>
      <family val="1"/>
      <charset val="128"/>
    </font>
    <font>
      <sz val="10"/>
      <name val="ＭＳ 明朝"/>
      <family val="1"/>
      <charset val="128"/>
    </font>
    <font>
      <sz val="9"/>
      <name val="ＭＳ 明朝"/>
      <family val="1"/>
      <charset val="128"/>
    </font>
    <font>
      <sz val="14"/>
      <name val="ＭＳ ゴシック"/>
      <family val="3"/>
      <charset val="128"/>
    </font>
    <font>
      <b/>
      <sz val="14"/>
      <color theme="1"/>
      <name val="ＭＳ 明朝"/>
      <family val="1"/>
      <charset val="128"/>
    </font>
    <font>
      <b/>
      <sz val="16"/>
      <color theme="1"/>
      <name val="ＭＳ 明朝"/>
      <family val="1"/>
      <charset val="128"/>
    </font>
    <font>
      <b/>
      <sz val="18"/>
      <color theme="1"/>
      <name val="ＭＳ 明朝"/>
      <family val="1"/>
      <charset val="128"/>
    </font>
    <font>
      <b/>
      <sz val="22"/>
      <color theme="1"/>
      <name val="ＭＳ 明朝"/>
      <family val="1"/>
      <charset val="128"/>
    </font>
    <font>
      <b/>
      <sz val="11"/>
      <color theme="1"/>
      <name val="ＭＳ Ｐゴシック"/>
      <family val="3"/>
      <charset val="128"/>
      <scheme val="minor"/>
    </font>
    <font>
      <sz val="10"/>
      <color theme="1"/>
      <name val="ＭＳ 明朝"/>
      <family val="1"/>
      <charset val="128"/>
    </font>
    <font>
      <b/>
      <sz val="12"/>
      <color theme="1"/>
      <name val="ＭＳ Ｐゴシック"/>
      <family val="3"/>
      <charset val="128"/>
    </font>
    <font>
      <b/>
      <sz val="12"/>
      <color theme="1"/>
      <name val="ＭＳ Ｐゴシック"/>
      <family val="3"/>
      <charset val="128"/>
      <scheme val="minor"/>
    </font>
    <font>
      <b/>
      <sz val="12"/>
      <color rgb="FFFF0066"/>
      <name val="ＭＳ Ｐゴシック"/>
      <family val="3"/>
      <charset val="128"/>
      <scheme val="minor"/>
    </font>
    <font>
      <sz val="12"/>
      <color theme="0"/>
      <name val="ＭＳ 明朝"/>
      <family val="1"/>
      <charset val="128"/>
    </font>
    <font>
      <b/>
      <sz val="12"/>
      <color theme="1"/>
      <name val="HG丸ｺﾞｼｯｸM-PRO"/>
      <family val="3"/>
      <charset val="128"/>
    </font>
    <font>
      <b/>
      <sz val="16"/>
      <color rgb="FFFF0066"/>
      <name val="HG丸ｺﾞｼｯｸM-PRO"/>
      <family val="3"/>
      <charset val="128"/>
    </font>
    <font>
      <sz val="12"/>
      <color indexed="81"/>
      <name val="MS P ゴシック"/>
      <family val="3"/>
      <charset val="128"/>
    </font>
    <font>
      <sz val="8"/>
      <color theme="1"/>
      <name val="ＭＳ 明朝"/>
      <family val="1"/>
      <charset val="128"/>
    </font>
    <font>
      <sz val="9"/>
      <color indexed="81"/>
      <name val="MS P ゴシック"/>
      <family val="3"/>
      <charset val="128"/>
    </font>
    <font>
      <sz val="7"/>
      <color rgb="FFFF0000"/>
      <name val="ＭＳ 明朝"/>
      <family val="1"/>
      <charset val="128"/>
    </font>
    <font>
      <sz val="9"/>
      <color theme="1"/>
      <name val="ＭＳ 明朝"/>
      <family val="1"/>
      <charset val="128"/>
    </font>
    <font>
      <sz val="11"/>
      <color theme="1"/>
      <name val="ＭＳ ゴシック"/>
      <family val="3"/>
      <charset val="128"/>
    </font>
    <font>
      <sz val="11"/>
      <color rgb="FFFF0000"/>
      <name val="ＭＳ Ｐゴシック"/>
      <family val="2"/>
      <charset val="128"/>
      <scheme val="minor"/>
    </font>
    <font>
      <sz val="11"/>
      <color rgb="FFFF0000"/>
      <name val="ＭＳ Ｐゴシック"/>
      <family val="3"/>
      <charset val="128"/>
      <scheme val="minor"/>
    </font>
    <font>
      <sz val="12"/>
      <color rgb="FFFF0000"/>
      <name val="ＭＳ 明朝"/>
      <family val="1"/>
      <charset val="128"/>
    </font>
  </fonts>
  <fills count="21">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rgb="FFFFFF66"/>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99FF9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66FF"/>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00B0F0"/>
        <bgColor indexed="64"/>
      </patternFill>
    </fill>
  </fills>
  <borders count="51">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4">
    <xf numFmtId="0" fontId="0" fillId="0" borderId="0" xfId="0">
      <alignment vertical="center"/>
    </xf>
    <xf numFmtId="38" fontId="2" fillId="2" borderId="0" xfId="1" applyFont="1" applyFill="1" applyBorder="1" applyAlignment="1">
      <alignment horizontal="right" vertical="center"/>
    </xf>
    <xf numFmtId="38" fontId="2" fillId="2" borderId="0" xfId="1" applyFont="1" applyFill="1" applyAlignment="1">
      <alignment horizontal="right" vertical="center"/>
    </xf>
    <xf numFmtId="0" fontId="4" fillId="0" borderId="0" xfId="0" applyFont="1">
      <alignment vertical="center"/>
    </xf>
    <xf numFmtId="0" fontId="6" fillId="0" borderId="0" xfId="0" applyFont="1">
      <alignment vertical="center"/>
    </xf>
    <xf numFmtId="0" fontId="0" fillId="0" borderId="0" xfId="0"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Fill="1">
      <alignment vertical="center"/>
    </xf>
    <xf numFmtId="0" fontId="5"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Fill="1" applyAlignment="1">
      <alignmen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7" fillId="0" borderId="0" xfId="0" applyFont="1" applyBorder="1">
      <alignment vertical="center"/>
    </xf>
    <xf numFmtId="0" fontId="8" fillId="0" borderId="0" xfId="0" applyFont="1" applyBorder="1">
      <alignment vertical="center"/>
    </xf>
    <xf numFmtId="0" fontId="0" fillId="0" borderId="0" xfId="0" applyFill="1">
      <alignment vertical="center"/>
    </xf>
    <xf numFmtId="38" fontId="2" fillId="0" borderId="0" xfId="1" applyFont="1" applyFill="1" applyBorder="1" applyAlignment="1">
      <alignment horizontal="right" vertical="center"/>
    </xf>
    <xf numFmtId="38" fontId="2" fillId="0" borderId="0" xfId="1" applyFont="1" applyFill="1" applyAlignment="1">
      <alignment horizontal="right" vertical="center"/>
    </xf>
    <xf numFmtId="0" fontId="4" fillId="0" borderId="0" xfId="0" applyFont="1" applyFill="1">
      <alignment vertical="center"/>
    </xf>
    <xf numFmtId="38" fontId="2" fillId="6" borderId="0" xfId="1" applyFont="1" applyFill="1" applyBorder="1" applyAlignment="1">
      <alignment horizontal="right" vertical="center"/>
    </xf>
    <xf numFmtId="38" fontId="0" fillId="0" borderId="0" xfId="1" applyFont="1">
      <alignment vertical="center"/>
    </xf>
    <xf numFmtId="38" fontId="0" fillId="6" borderId="0" xfId="1" applyFont="1" applyFill="1">
      <alignment vertical="center"/>
    </xf>
    <xf numFmtId="38" fontId="0" fillId="0" borderId="0" xfId="1" applyFont="1" applyFill="1">
      <alignment vertical="center"/>
    </xf>
    <xf numFmtId="38" fontId="0" fillId="3" borderId="0" xfId="1" applyFont="1" applyFill="1">
      <alignment vertical="center"/>
    </xf>
    <xf numFmtId="0" fontId="15" fillId="0" borderId="0" xfId="0" applyFont="1">
      <alignment vertical="center"/>
    </xf>
    <xf numFmtId="0" fontId="14" fillId="0" borderId="0" xfId="0" applyFont="1" applyFill="1" applyAlignment="1">
      <alignment vertical="center"/>
    </xf>
    <xf numFmtId="0" fontId="16" fillId="0" borderId="0" xfId="0" applyFont="1">
      <alignment vertical="center"/>
    </xf>
    <xf numFmtId="0" fontId="17" fillId="0" borderId="0" xfId="0" applyFont="1">
      <alignment vertical="center"/>
    </xf>
    <xf numFmtId="38" fontId="0" fillId="0" borderId="0" xfId="1" applyFont="1" applyAlignment="1">
      <alignment vertical="center" wrapText="1"/>
    </xf>
    <xf numFmtId="0" fontId="0" fillId="0" borderId="0" xfId="0" applyAlignment="1">
      <alignment vertical="center" wrapText="1"/>
    </xf>
    <xf numFmtId="0" fontId="18" fillId="0" borderId="0" xfId="0" applyFont="1">
      <alignment vertical="center"/>
    </xf>
    <xf numFmtId="0" fontId="0" fillId="0" borderId="0" xfId="0" applyBorder="1">
      <alignment vertical="center"/>
    </xf>
    <xf numFmtId="0" fontId="0" fillId="7" borderId="3" xfId="0" applyFill="1" applyBorder="1">
      <alignment vertical="center"/>
    </xf>
    <xf numFmtId="0" fontId="20" fillId="0" borderId="0" xfId="0" applyFont="1">
      <alignment vertical="center"/>
    </xf>
    <xf numFmtId="0" fontId="0" fillId="0" borderId="0" xfId="0" applyFill="1" applyBorder="1">
      <alignment vertical="center"/>
    </xf>
    <xf numFmtId="0" fontId="0" fillId="0" borderId="15" xfId="0" applyBorder="1" applyAlignment="1">
      <alignment horizontal="center" vertical="center"/>
    </xf>
    <xf numFmtId="176" fontId="0" fillId="7" borderId="16" xfId="0" applyNumberFormat="1" applyFill="1" applyBorder="1" applyProtection="1">
      <alignment vertical="center"/>
      <protection locked="0"/>
    </xf>
    <xf numFmtId="0" fontId="0" fillId="0" borderId="16" xfId="0" applyBorder="1" applyAlignment="1">
      <alignment horizontal="center" vertical="center"/>
    </xf>
    <xf numFmtId="176" fontId="0" fillId="7" borderId="17" xfId="0" applyNumberFormat="1" applyFill="1" applyBorder="1" applyProtection="1">
      <alignment vertical="center"/>
      <protection locked="0"/>
    </xf>
    <xf numFmtId="0" fontId="0" fillId="0" borderId="20" xfId="0" applyBorder="1" applyAlignment="1">
      <alignment horizontal="center" vertical="center"/>
    </xf>
    <xf numFmtId="176" fontId="0" fillId="7" borderId="21" xfId="0" applyNumberFormat="1" applyFill="1" applyBorder="1" applyAlignment="1" applyProtection="1">
      <alignment horizontal="center" vertical="center"/>
      <protection locked="0"/>
    </xf>
    <xf numFmtId="0" fontId="0" fillId="0" borderId="21" xfId="0" applyBorder="1" applyAlignment="1">
      <alignment horizontal="center" vertical="center"/>
    </xf>
    <xf numFmtId="177" fontId="0" fillId="7" borderId="22" xfId="0" applyNumberFormat="1" applyFill="1" applyBorder="1" applyProtection="1">
      <alignment vertical="center"/>
      <protection locked="0"/>
    </xf>
    <xf numFmtId="0" fontId="2" fillId="8" borderId="17" xfId="0" applyFont="1" applyFill="1" applyBorder="1" applyAlignment="1">
      <alignment horizontal="center" vertical="center"/>
    </xf>
    <xf numFmtId="0" fontId="2" fillId="8" borderId="26" xfId="0" applyFont="1" applyFill="1" applyBorder="1">
      <alignment vertical="center"/>
    </xf>
    <xf numFmtId="0" fontId="2" fillId="8" borderId="27" xfId="0" applyFont="1" applyFill="1" applyBorder="1" applyAlignment="1">
      <alignment horizontal="center" vertical="center"/>
    </xf>
    <xf numFmtId="0" fontId="21" fillId="0" borderId="0" xfId="0" applyFont="1">
      <alignment vertical="center"/>
    </xf>
    <xf numFmtId="0" fontId="22" fillId="0" borderId="0" xfId="0" applyFont="1">
      <alignment vertical="center"/>
    </xf>
    <xf numFmtId="0" fontId="0" fillId="0" borderId="0" xfId="0" applyAlignment="1">
      <alignment horizontal="right" vertical="center"/>
    </xf>
    <xf numFmtId="0" fontId="7" fillId="0" borderId="0" xfId="0" applyFont="1" applyFill="1" applyAlignment="1">
      <alignment vertical="center"/>
    </xf>
    <xf numFmtId="0" fontId="23" fillId="0" borderId="0" xfId="0" applyFont="1" applyFill="1" applyAlignment="1">
      <alignment vertical="center"/>
    </xf>
    <xf numFmtId="0" fontId="7" fillId="0" borderId="0" xfId="0" applyFont="1" applyAlignment="1">
      <alignment horizontal="center" vertical="center"/>
    </xf>
    <xf numFmtId="1" fontId="10" fillId="0" borderId="0" xfId="0" applyNumberFormat="1" applyFont="1" applyBorder="1" applyAlignment="1">
      <alignment horizontal="center" vertical="center"/>
    </xf>
    <xf numFmtId="177" fontId="0" fillId="0" borderId="0" xfId="0" applyNumberFormat="1" applyFill="1" applyBorder="1" applyAlignment="1">
      <alignment horizontal="center" vertical="center"/>
    </xf>
    <xf numFmtId="1" fontId="23" fillId="0" borderId="0" xfId="0" applyNumberFormat="1" applyFont="1" applyBorder="1" applyAlignment="1">
      <alignment vertical="center"/>
    </xf>
    <xf numFmtId="38" fontId="23" fillId="0" borderId="0" xfId="1" applyFont="1" applyBorder="1" applyAlignment="1">
      <alignment horizontal="right" vertical="center"/>
    </xf>
    <xf numFmtId="38" fontId="23" fillId="0" borderId="0" xfId="0" applyNumberFormat="1" applyFont="1" applyBorder="1" applyAlignment="1">
      <alignment horizontal="right" vertical="center"/>
    </xf>
    <xf numFmtId="0" fontId="23" fillId="0" borderId="0" xfId="0" applyFont="1" applyBorder="1" applyAlignment="1">
      <alignment horizontal="right" vertical="center"/>
    </xf>
    <xf numFmtId="0" fontId="10" fillId="0" borderId="2" xfId="0" applyFont="1" applyBorder="1" applyAlignment="1">
      <alignment vertical="center"/>
    </xf>
    <xf numFmtId="0" fontId="8" fillId="0" borderId="42"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vertical="center"/>
    </xf>
    <xf numFmtId="0" fontId="8" fillId="0" borderId="14" xfId="0" applyFont="1" applyBorder="1">
      <alignment vertical="center"/>
    </xf>
    <xf numFmtId="0" fontId="8" fillId="0" borderId="10" xfId="0" applyFont="1" applyBorder="1">
      <alignment vertical="center"/>
    </xf>
    <xf numFmtId="38" fontId="8" fillId="0" borderId="0" xfId="1" applyFont="1" applyFill="1" applyAlignment="1">
      <alignment horizontal="right" vertical="center"/>
    </xf>
    <xf numFmtId="0" fontId="9" fillId="9" borderId="0" xfId="0" applyFont="1" applyFill="1" applyAlignment="1">
      <alignment horizontal="right" vertical="center"/>
    </xf>
    <xf numFmtId="0" fontId="25" fillId="0" borderId="0" xfId="0" applyFont="1" applyFill="1" applyBorder="1">
      <alignment vertical="center"/>
    </xf>
    <xf numFmtId="0" fontId="8" fillId="12" borderId="43" xfId="0" applyFont="1" applyFill="1" applyBorder="1">
      <alignment vertical="center"/>
    </xf>
    <xf numFmtId="0" fontId="8" fillId="10" borderId="19" xfId="0" applyFont="1" applyFill="1" applyBorder="1">
      <alignment vertical="center"/>
    </xf>
    <xf numFmtId="0" fontId="32" fillId="16" borderId="9" xfId="0" applyFont="1" applyFill="1" applyBorder="1">
      <alignment vertical="center"/>
    </xf>
    <xf numFmtId="0" fontId="32" fillId="16" borderId="1" xfId="0" applyFont="1" applyFill="1" applyBorder="1">
      <alignment vertical="center"/>
    </xf>
    <xf numFmtId="0" fontId="32" fillId="16" borderId="1" xfId="0" applyFont="1" applyFill="1" applyBorder="1" applyAlignment="1">
      <alignment horizontal="left" vertical="top"/>
    </xf>
    <xf numFmtId="0" fontId="32" fillId="16" borderId="18" xfId="0" applyFont="1" applyFill="1" applyBorder="1" applyAlignment="1">
      <alignment horizontal="left" vertical="top"/>
    </xf>
    <xf numFmtId="0" fontId="32" fillId="15" borderId="9" xfId="0" applyFont="1" applyFill="1" applyBorder="1">
      <alignment vertical="center"/>
    </xf>
    <xf numFmtId="0" fontId="32" fillId="15" borderId="1" xfId="0" applyFont="1" applyFill="1" applyBorder="1" applyAlignment="1">
      <alignment horizontal="left" vertical="top"/>
    </xf>
    <xf numFmtId="0" fontId="32" fillId="15" borderId="1" xfId="0" applyFont="1" applyFill="1" applyBorder="1">
      <alignment vertical="center"/>
    </xf>
    <xf numFmtId="0" fontId="32" fillId="15" borderId="18" xfId="0" applyFont="1" applyFill="1" applyBorder="1" applyAlignment="1">
      <alignment horizontal="left" vertical="top"/>
    </xf>
    <xf numFmtId="0" fontId="8" fillId="15" borderId="43" xfId="0" applyFont="1" applyFill="1" applyBorder="1" applyAlignment="1">
      <alignment vertical="center"/>
    </xf>
    <xf numFmtId="0" fontId="32" fillId="5" borderId="9" xfId="0" applyFont="1" applyFill="1" applyBorder="1">
      <alignment vertical="center"/>
    </xf>
    <xf numFmtId="0" fontId="32" fillId="5" borderId="1" xfId="0" applyFont="1" applyFill="1" applyBorder="1" applyAlignment="1">
      <alignment horizontal="left" vertical="top"/>
    </xf>
    <xf numFmtId="0" fontId="32" fillId="5" borderId="1" xfId="0" applyFont="1" applyFill="1" applyBorder="1">
      <alignment vertical="center"/>
    </xf>
    <xf numFmtId="0" fontId="8" fillId="5" borderId="43" xfId="0" applyFont="1" applyFill="1" applyBorder="1">
      <alignment vertical="center"/>
    </xf>
    <xf numFmtId="0" fontId="8" fillId="0" borderId="47" xfId="0" applyFont="1" applyFill="1" applyBorder="1">
      <alignment vertical="center"/>
    </xf>
    <xf numFmtId="0" fontId="8" fillId="0" borderId="43" xfId="0" applyFont="1" applyFill="1" applyBorder="1">
      <alignment vertical="center"/>
    </xf>
    <xf numFmtId="0" fontId="25" fillId="4" borderId="38" xfId="0" applyFont="1" applyFill="1" applyBorder="1" applyProtection="1">
      <alignment vertical="center"/>
      <protection locked="0"/>
    </xf>
    <xf numFmtId="179" fontId="0" fillId="0" borderId="0" xfId="1" applyNumberFormat="1" applyFont="1">
      <alignment vertical="center"/>
    </xf>
    <xf numFmtId="179" fontId="0" fillId="0" borderId="0" xfId="0" applyNumberFormat="1">
      <alignment vertical="center"/>
    </xf>
    <xf numFmtId="38" fontId="0" fillId="3" borderId="25" xfId="0" applyNumberFormat="1" applyFill="1" applyBorder="1">
      <alignment vertical="center"/>
    </xf>
    <xf numFmtId="177" fontId="0" fillId="3" borderId="26" xfId="0" applyNumberFormat="1" applyFill="1" applyBorder="1">
      <alignment vertical="center"/>
    </xf>
    <xf numFmtId="176" fontId="0" fillId="3" borderId="27" xfId="0" applyNumberFormat="1" applyFill="1" applyBorder="1">
      <alignment vertical="center"/>
    </xf>
    <xf numFmtId="38" fontId="0" fillId="3" borderId="29" xfId="0" applyNumberFormat="1" applyFill="1" applyBorder="1">
      <alignment vertical="center"/>
    </xf>
    <xf numFmtId="177" fontId="0" fillId="3" borderId="31" xfId="0" applyNumberFormat="1" applyFill="1" applyBorder="1">
      <alignment vertical="center"/>
    </xf>
    <xf numFmtId="0" fontId="0" fillId="3" borderId="32" xfId="0" applyFill="1" applyBorder="1">
      <alignment vertical="center"/>
    </xf>
    <xf numFmtId="177" fontId="0" fillId="3" borderId="33" xfId="0" applyNumberFormat="1" applyFill="1" applyBorder="1">
      <alignment vertical="center"/>
    </xf>
    <xf numFmtId="0" fontId="0" fillId="3" borderId="33" xfId="0" applyFill="1" applyBorder="1">
      <alignment vertical="center"/>
    </xf>
    <xf numFmtId="176" fontId="0" fillId="3" borderId="34" xfId="0" applyNumberFormat="1" applyFill="1" applyBorder="1">
      <alignment vertical="center"/>
    </xf>
    <xf numFmtId="177" fontId="0" fillId="3" borderId="0" xfId="0" applyNumberFormat="1" applyFill="1">
      <alignment vertical="center"/>
    </xf>
    <xf numFmtId="38" fontId="0" fillId="3" borderId="0" xfId="0" applyNumberFormat="1" applyFill="1">
      <alignment vertical="center"/>
    </xf>
    <xf numFmtId="0" fontId="0" fillId="3" borderId="3" xfId="0" applyFill="1" applyBorder="1">
      <alignment vertical="center"/>
    </xf>
    <xf numFmtId="0" fontId="0" fillId="3" borderId="0" xfId="0" applyFill="1">
      <alignment vertical="center"/>
    </xf>
    <xf numFmtId="0" fontId="9" fillId="3" borderId="3" xfId="0" applyFont="1" applyFill="1" applyBorder="1" applyAlignment="1">
      <alignment horizontal="center" vertical="center"/>
    </xf>
    <xf numFmtId="38" fontId="7" fillId="3" borderId="3" xfId="1" applyFont="1" applyFill="1" applyBorder="1">
      <alignment vertical="center"/>
    </xf>
    <xf numFmtId="1" fontId="23" fillId="11" borderId="36" xfId="0" applyNumberFormat="1" applyFont="1" applyFill="1" applyBorder="1" applyAlignment="1" applyProtection="1">
      <alignment vertical="center"/>
      <protection hidden="1"/>
    </xf>
    <xf numFmtId="58" fontId="0" fillId="4" borderId="0" xfId="0" applyNumberFormat="1" applyFill="1">
      <alignment vertical="center"/>
    </xf>
    <xf numFmtId="0" fontId="7" fillId="0" borderId="0" xfId="0" applyFont="1" applyAlignment="1">
      <alignment horizontal="center" vertical="center"/>
    </xf>
    <xf numFmtId="0" fontId="32" fillId="5" borderId="18" xfId="0" applyFont="1" applyFill="1" applyBorder="1" applyAlignment="1">
      <alignment horizontal="left" vertical="top"/>
    </xf>
    <xf numFmtId="0" fontId="8" fillId="0" borderId="40" xfId="0" applyFont="1" applyBorder="1">
      <alignment vertical="center"/>
    </xf>
    <xf numFmtId="38" fontId="0" fillId="3" borderId="0" xfId="0" applyNumberFormat="1" applyFill="1" applyAlignment="1">
      <alignment horizontal="right" vertical="center"/>
    </xf>
    <xf numFmtId="38" fontId="8" fillId="0" borderId="10" xfId="1" applyFont="1" applyFill="1" applyBorder="1" applyAlignment="1" applyProtection="1">
      <alignment vertical="center"/>
      <protection hidden="1"/>
    </xf>
    <xf numFmtId="38" fontId="8" fillId="0" borderId="10" xfId="1" applyFont="1" applyBorder="1" applyAlignment="1">
      <alignment vertical="center"/>
    </xf>
    <xf numFmtId="0" fontId="9" fillId="3" borderId="0" xfId="0" applyFont="1" applyFill="1" applyBorder="1" applyAlignment="1">
      <alignment horizontal="center" vertical="center"/>
    </xf>
    <xf numFmtId="0" fontId="4" fillId="0" borderId="0" xfId="0" applyFont="1" applyFill="1" applyBorder="1" applyAlignment="1">
      <alignment vertical="center"/>
    </xf>
    <xf numFmtId="58" fontId="9" fillId="0" borderId="0" xfId="0" applyNumberFormat="1" applyFont="1" applyBorder="1" applyAlignment="1">
      <alignment vertical="center"/>
    </xf>
    <xf numFmtId="0" fontId="9" fillId="0" borderId="0" xfId="0" applyFont="1" applyBorder="1" applyAlignment="1">
      <alignment vertical="center"/>
    </xf>
    <xf numFmtId="0" fontId="0" fillId="0" borderId="3" xfId="0" applyBorder="1">
      <alignment vertical="center"/>
    </xf>
    <xf numFmtId="0" fontId="0" fillId="0" borderId="3" xfId="0" applyBorder="1" applyAlignment="1">
      <alignment vertical="center" wrapText="1"/>
    </xf>
    <xf numFmtId="0" fontId="27" fillId="0" borderId="0" xfId="0" applyFont="1">
      <alignment vertical="center"/>
    </xf>
    <xf numFmtId="0" fontId="0" fillId="0" borderId="0" xfId="0" applyFill="1" applyBorder="1" applyAlignment="1">
      <alignment horizontal="center" vertical="center"/>
    </xf>
    <xf numFmtId="0" fontId="8" fillId="0" borderId="42" xfId="0" applyFont="1" applyFill="1" applyBorder="1">
      <alignment vertical="center"/>
    </xf>
    <xf numFmtId="0" fontId="8" fillId="15" borderId="42" xfId="0" applyFont="1" applyFill="1" applyBorder="1" applyAlignment="1">
      <alignment vertical="center"/>
    </xf>
    <xf numFmtId="0" fontId="8" fillId="12" borderId="42" xfId="0" applyFont="1" applyFill="1" applyBorder="1">
      <alignment vertical="center"/>
    </xf>
    <xf numFmtId="0" fontId="8" fillId="0" borderId="5" xfId="0" applyFont="1" applyFill="1" applyBorder="1">
      <alignment vertical="center"/>
    </xf>
    <xf numFmtId="0" fontId="8" fillId="10" borderId="40" xfId="0" applyFont="1" applyFill="1" applyBorder="1">
      <alignment vertical="center"/>
    </xf>
    <xf numFmtId="176" fontId="0" fillId="3" borderId="0" xfId="0" applyNumberFormat="1" applyFill="1" applyBorder="1">
      <alignment vertical="center"/>
    </xf>
    <xf numFmtId="10" fontId="40" fillId="3" borderId="3" xfId="0" applyNumberFormat="1" applyFont="1" applyFill="1" applyBorder="1">
      <alignment vertical="center"/>
    </xf>
    <xf numFmtId="38" fontId="40" fillId="3" borderId="3" xfId="1" applyFont="1" applyFill="1" applyBorder="1">
      <alignment vertical="center"/>
    </xf>
    <xf numFmtId="0" fontId="8" fillId="0" borderId="43" xfId="0" applyFont="1" applyBorder="1" applyAlignment="1">
      <alignment vertical="center"/>
    </xf>
    <xf numFmtId="0" fontId="8" fillId="0" borderId="0" xfId="0" applyFont="1" applyAlignment="1">
      <alignment vertical="center" shrinkToFit="1"/>
    </xf>
    <xf numFmtId="0" fontId="2" fillId="8" borderId="0" xfId="0" applyFont="1" applyFill="1" applyBorder="1">
      <alignment vertical="center"/>
    </xf>
    <xf numFmtId="176" fontId="0" fillId="0" borderId="0" xfId="0" applyNumberFormat="1" applyFill="1" applyBorder="1" applyProtection="1">
      <alignment vertical="center"/>
      <protection locked="0"/>
    </xf>
    <xf numFmtId="177" fontId="0" fillId="0" borderId="0" xfId="0" applyNumberFormat="1" applyFill="1" applyBorder="1" applyProtection="1">
      <alignment vertical="center"/>
      <protection locked="0"/>
    </xf>
    <xf numFmtId="0" fontId="8" fillId="0" borderId="6" xfId="0" applyFont="1" applyBorder="1">
      <alignment vertical="center"/>
    </xf>
    <xf numFmtId="177" fontId="41" fillId="7" borderId="17" xfId="0" applyNumberFormat="1" applyFont="1" applyFill="1" applyBorder="1" applyProtection="1">
      <alignment vertical="center"/>
      <protection locked="0"/>
    </xf>
    <xf numFmtId="181" fontId="0" fillId="3" borderId="34" xfId="0" applyNumberFormat="1" applyFill="1" applyBorder="1">
      <alignment vertical="center"/>
    </xf>
    <xf numFmtId="0" fontId="0" fillId="0" borderId="0" xfId="0" applyFill="1" applyBorder="1" applyAlignment="1">
      <alignment horizontal="center" vertical="center"/>
    </xf>
    <xf numFmtId="49" fontId="0" fillId="0" borderId="0" xfId="0" applyNumberFormat="1">
      <alignment vertical="center"/>
    </xf>
    <xf numFmtId="0" fontId="2" fillId="8" borderId="0" xfId="0" applyFont="1" applyFill="1" applyBorder="1"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9" fillId="13" borderId="3" xfId="0" applyFont="1" applyFill="1" applyBorder="1" applyAlignment="1">
      <alignment horizontal="center" vertical="center"/>
    </xf>
    <xf numFmtId="0" fontId="9" fillId="12" borderId="3" xfId="0" applyFont="1" applyFill="1" applyBorder="1" applyAlignment="1">
      <alignment horizontal="center" vertical="center"/>
    </xf>
    <xf numFmtId="0" fontId="10" fillId="0" borderId="0" xfId="0" applyFont="1" applyAlignment="1">
      <alignment horizontal="center" vertical="center"/>
    </xf>
    <xf numFmtId="0" fontId="9" fillId="0" borderId="0" xfId="0" applyFont="1" applyBorder="1" applyAlignment="1">
      <alignment horizontal="center" vertical="center"/>
    </xf>
    <xf numFmtId="38" fontId="24" fillId="0" borderId="0" xfId="1" applyFont="1" applyBorder="1" applyAlignment="1">
      <alignment horizontal="right" vertical="center"/>
    </xf>
    <xf numFmtId="0" fontId="8" fillId="0" borderId="0" xfId="0" applyFont="1" applyFill="1" applyBorder="1" applyAlignment="1">
      <alignment horizontal="center" vertical="center"/>
    </xf>
    <xf numFmtId="38" fontId="8" fillId="0" borderId="0" xfId="1" applyFont="1" applyFill="1" applyBorder="1" applyAlignment="1">
      <alignment horizontal="right" vertical="center"/>
    </xf>
    <xf numFmtId="0" fontId="8" fillId="0" borderId="0" xfId="0" applyFont="1" applyFill="1" applyBorder="1">
      <alignment vertical="center"/>
    </xf>
    <xf numFmtId="38" fontId="8" fillId="0" borderId="0" xfId="1" applyFont="1" applyFill="1" applyAlignment="1">
      <alignment vertical="center"/>
    </xf>
    <xf numFmtId="0" fontId="9" fillId="0" borderId="0" xfId="0" applyFont="1" applyFill="1" applyBorder="1" applyAlignment="1">
      <alignment horizontal="left" vertical="center"/>
    </xf>
    <xf numFmtId="0" fontId="29" fillId="0" borderId="41" xfId="0" applyFont="1" applyBorder="1" applyAlignment="1">
      <alignment vertical="center"/>
    </xf>
    <xf numFmtId="0" fontId="29" fillId="0" borderId="42" xfId="0" applyFont="1" applyBorder="1" applyAlignment="1">
      <alignment vertical="center"/>
    </xf>
    <xf numFmtId="0" fontId="30" fillId="0" borderId="41" xfId="0" applyFont="1" applyBorder="1" applyAlignment="1">
      <alignment vertical="center"/>
    </xf>
    <xf numFmtId="0" fontId="30" fillId="0" borderId="42" xfId="0" applyFont="1" applyBorder="1" applyAlignment="1">
      <alignment vertical="center"/>
    </xf>
    <xf numFmtId="0" fontId="30" fillId="0" borderId="43" xfId="0" applyFont="1" applyBorder="1" applyAlignment="1">
      <alignment vertical="center"/>
    </xf>
    <xf numFmtId="0" fontId="28" fillId="0" borderId="0" xfId="0" applyFont="1" applyBorder="1" applyAlignment="1">
      <alignment vertical="center" wrapText="1"/>
    </xf>
    <xf numFmtId="0" fontId="28" fillId="0" borderId="40" xfId="0" applyFont="1" applyBorder="1" applyAlignment="1">
      <alignment vertical="center" wrapText="1"/>
    </xf>
    <xf numFmtId="0" fontId="28" fillId="0" borderId="19" xfId="0" applyFont="1" applyBorder="1" applyAlignment="1">
      <alignment vertical="center" wrapText="1"/>
    </xf>
    <xf numFmtId="0" fontId="28" fillId="0" borderId="1" xfId="0" applyFont="1" applyBorder="1" applyAlignment="1">
      <alignment vertical="center"/>
    </xf>
    <xf numFmtId="0" fontId="28" fillId="0" borderId="18" xfId="0" applyFont="1" applyBorder="1" applyAlignment="1">
      <alignment vertical="center"/>
    </xf>
    <xf numFmtId="0" fontId="28" fillId="4" borderId="0" xfId="0" applyFont="1" applyFill="1" applyBorder="1" applyAlignment="1">
      <alignment vertical="top" wrapText="1"/>
    </xf>
    <xf numFmtId="0" fontId="28" fillId="0" borderId="0" xfId="0" applyFont="1" applyBorder="1" applyAlignment="1">
      <alignment vertical="center"/>
    </xf>
    <xf numFmtId="0" fontId="28" fillId="0" borderId="2" xfId="0" applyFont="1" applyBorder="1" applyAlignment="1">
      <alignment vertical="center"/>
    </xf>
    <xf numFmtId="0" fontId="4" fillId="0" borderId="0" xfId="0" applyFont="1" applyAlignment="1">
      <alignment vertical="center"/>
    </xf>
    <xf numFmtId="0" fontId="36" fillId="0" borderId="0" xfId="0" applyFont="1">
      <alignment vertical="center"/>
    </xf>
    <xf numFmtId="58" fontId="33" fillId="0" borderId="0" xfId="0" applyNumberFormat="1" applyFont="1" applyAlignment="1" applyProtection="1">
      <alignment vertical="center"/>
      <protection hidden="1"/>
    </xf>
    <xf numFmtId="0" fontId="0" fillId="0" borderId="3" xfId="0" applyFill="1" applyBorder="1" applyAlignment="1">
      <alignment vertical="center" wrapText="1"/>
    </xf>
    <xf numFmtId="0" fontId="43" fillId="0" borderId="0" xfId="0" applyFont="1" applyFill="1" applyBorder="1" applyAlignment="1">
      <alignment horizontal="center" vertical="center"/>
    </xf>
    <xf numFmtId="38" fontId="2" fillId="20" borderId="0" xfId="1" applyFont="1" applyFill="1" applyBorder="1" applyAlignment="1">
      <alignment horizontal="right" vertical="center"/>
    </xf>
    <xf numFmtId="0" fontId="0" fillId="0" borderId="3" xfId="0" applyFill="1" applyBorder="1">
      <alignment vertical="center"/>
    </xf>
    <xf numFmtId="0" fontId="41" fillId="0" borderId="3" xfId="0" applyFont="1" applyFill="1" applyBorder="1">
      <alignment vertical="center"/>
    </xf>
    <xf numFmtId="0" fontId="5" fillId="0" borderId="0" xfId="0" applyFont="1" applyAlignment="1" applyProtection="1">
      <alignment horizontal="left" vertical="center" wrapText="1"/>
      <protection hidden="1"/>
    </xf>
    <xf numFmtId="0" fontId="10" fillId="0" borderId="0" xfId="0" applyFont="1" applyAlignment="1">
      <alignment horizontal="center" vertical="center"/>
    </xf>
    <xf numFmtId="38" fontId="23" fillId="0" borderId="0" xfId="0" applyNumberFormat="1" applyFont="1" applyBorder="1" applyAlignment="1">
      <alignment horizontal="right" vertical="center"/>
    </xf>
    <xf numFmtId="0" fontId="23" fillId="0" borderId="0" xfId="0" applyFont="1" applyBorder="1" applyAlignment="1">
      <alignment horizontal="right"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178" fontId="23" fillId="11" borderId="4" xfId="1" applyNumberFormat="1" applyFont="1" applyFill="1" applyBorder="1" applyAlignment="1" applyProtection="1">
      <alignment horizontal="right" vertical="center"/>
      <protection hidden="1"/>
    </xf>
    <xf numFmtId="178" fontId="23" fillId="11" borderId="5" xfId="1" applyNumberFormat="1" applyFont="1" applyFill="1" applyBorder="1" applyAlignment="1" applyProtection="1">
      <alignment horizontal="right" vertical="center"/>
      <protection hidden="1"/>
    </xf>
    <xf numFmtId="178" fontId="23" fillId="11" borderId="6" xfId="1" applyNumberFormat="1" applyFont="1" applyFill="1" applyBorder="1" applyAlignment="1" applyProtection="1">
      <alignment horizontal="right" vertical="center"/>
      <protection hidden="1"/>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38" fontId="8" fillId="0" borderId="41" xfId="1" applyFont="1" applyFill="1" applyBorder="1" applyAlignment="1" applyProtection="1">
      <alignment horizontal="right" vertical="center"/>
      <protection hidden="1"/>
    </xf>
    <xf numFmtId="38" fontId="8" fillId="0" borderId="42" xfId="1" applyFont="1" applyFill="1" applyBorder="1" applyAlignment="1" applyProtection="1">
      <alignment horizontal="right" vertical="center"/>
      <protection hidden="1"/>
    </xf>
    <xf numFmtId="0" fontId="8" fillId="15" borderId="14" xfId="0" applyFont="1" applyFill="1" applyBorder="1" applyAlignment="1">
      <alignment horizontal="left" vertical="center"/>
    </xf>
    <xf numFmtId="0" fontId="8" fillId="15" borderId="10" xfId="0" applyFont="1" applyFill="1" applyBorder="1" applyAlignment="1">
      <alignment horizontal="left" vertical="center"/>
    </xf>
    <xf numFmtId="0" fontId="8" fillId="15" borderId="0" xfId="0" applyFont="1" applyFill="1" applyBorder="1" applyAlignment="1">
      <alignment horizontal="left" vertical="center"/>
    </xf>
    <xf numFmtId="0" fontId="8" fillId="15" borderId="2" xfId="0" applyFont="1" applyFill="1" applyBorder="1" applyAlignment="1">
      <alignment horizontal="left" vertical="center"/>
    </xf>
    <xf numFmtId="0" fontId="8" fillId="0" borderId="44" xfId="0" applyFont="1" applyFill="1" applyBorder="1" applyAlignment="1">
      <alignment horizontal="right" vertical="center"/>
    </xf>
    <xf numFmtId="0" fontId="8" fillId="0" borderId="45" xfId="0" applyFont="1" applyFill="1" applyBorder="1" applyAlignment="1">
      <alignment horizontal="right" vertical="center"/>
    </xf>
    <xf numFmtId="0" fontId="8" fillId="0" borderId="45" xfId="0" applyFont="1" applyFill="1" applyBorder="1" applyAlignment="1" applyProtection="1">
      <alignment horizontal="center" vertical="center"/>
      <protection hidden="1"/>
    </xf>
    <xf numFmtId="0" fontId="8" fillId="0" borderId="46" xfId="0" applyFont="1" applyFill="1" applyBorder="1" applyAlignment="1" applyProtection="1">
      <alignment horizontal="center" vertical="center"/>
      <protection hidden="1"/>
    </xf>
    <xf numFmtId="38" fontId="8" fillId="15" borderId="41" xfId="1" applyFont="1" applyFill="1" applyBorder="1" applyAlignment="1">
      <alignment horizontal="right" vertical="center"/>
    </xf>
    <xf numFmtId="38" fontId="8" fillId="15" borderId="42" xfId="1" applyFont="1" applyFill="1" applyBorder="1" applyAlignment="1">
      <alignment horizontal="right" vertical="center"/>
    </xf>
    <xf numFmtId="0" fontId="8" fillId="0" borderId="10" xfId="0" applyFont="1" applyFill="1" applyBorder="1" applyAlignment="1">
      <alignment horizontal="left" vertical="center"/>
    </xf>
    <xf numFmtId="0" fontId="8" fillId="0" borderId="19" xfId="0" applyFont="1" applyFill="1" applyBorder="1" applyAlignment="1">
      <alignment horizontal="left" vertical="center"/>
    </xf>
    <xf numFmtId="38" fontId="8" fillId="0" borderId="9" xfId="1" applyFont="1" applyFill="1" applyBorder="1" applyAlignment="1" applyProtection="1">
      <alignment horizontal="right" vertical="center"/>
      <protection hidden="1"/>
    </xf>
    <xf numFmtId="38" fontId="8" fillId="0" borderId="14" xfId="1" applyFont="1" applyFill="1" applyBorder="1" applyAlignment="1" applyProtection="1">
      <alignment horizontal="right" vertical="center"/>
      <protection hidden="1"/>
    </xf>
    <xf numFmtId="38" fontId="8" fillId="0" borderId="18" xfId="1" applyFont="1" applyFill="1" applyBorder="1" applyAlignment="1" applyProtection="1">
      <alignment horizontal="right" vertical="center"/>
      <protection hidden="1"/>
    </xf>
    <xf numFmtId="38" fontId="8" fillId="0" borderId="40" xfId="1" applyFont="1" applyFill="1" applyBorder="1" applyAlignment="1" applyProtection="1">
      <alignment horizontal="right" vertical="center"/>
      <protection hidden="1"/>
    </xf>
    <xf numFmtId="0" fontId="8" fillId="0" borderId="0" xfId="0" applyFont="1" applyAlignment="1">
      <alignment horizontal="left" vertical="center"/>
    </xf>
    <xf numFmtId="0" fontId="8" fillId="16" borderId="14" xfId="0" applyFont="1" applyFill="1" applyBorder="1" applyAlignment="1">
      <alignment horizontal="left" vertical="center"/>
    </xf>
    <xf numFmtId="0" fontId="8" fillId="16" borderId="10" xfId="0" applyFont="1" applyFill="1" applyBorder="1" applyAlignment="1">
      <alignment horizontal="left" vertical="center"/>
    </xf>
    <xf numFmtId="0" fontId="8" fillId="16" borderId="0" xfId="0" applyFont="1" applyFill="1" applyBorder="1" applyAlignment="1">
      <alignment horizontal="left" vertical="center"/>
    </xf>
    <xf numFmtId="0" fontId="8" fillId="16" borderId="2" xfId="0" applyFont="1" applyFill="1" applyBorder="1" applyAlignment="1">
      <alignment horizontal="left" vertical="center"/>
    </xf>
    <xf numFmtId="0" fontId="8" fillId="12" borderId="41" xfId="0" applyFont="1" applyFill="1" applyBorder="1" applyAlignment="1">
      <alignment horizontal="left" vertical="center"/>
    </xf>
    <xf numFmtId="0" fontId="8" fillId="12" borderId="42" xfId="0" applyFont="1" applyFill="1" applyBorder="1" applyAlignment="1">
      <alignment horizontal="left" vertical="center"/>
    </xf>
    <xf numFmtId="0" fontId="8" fillId="12" borderId="42" xfId="0" applyFont="1" applyFill="1" applyBorder="1" applyAlignment="1" applyProtection="1">
      <alignment horizontal="center" vertical="center" shrinkToFit="1"/>
      <protection hidden="1"/>
    </xf>
    <xf numFmtId="0" fontId="8" fillId="12" borderId="43" xfId="0" applyFont="1" applyFill="1" applyBorder="1" applyAlignment="1" applyProtection="1">
      <alignment horizontal="center" vertical="center" shrinkToFit="1"/>
      <protection hidden="1"/>
    </xf>
    <xf numFmtId="0" fontId="8" fillId="0" borderId="18" xfId="0" applyFont="1" applyFill="1" applyBorder="1" applyAlignment="1">
      <alignment horizontal="right" vertical="center" shrinkToFit="1"/>
    </xf>
    <xf numFmtId="0" fontId="8" fillId="0" borderId="40" xfId="0" applyFont="1" applyFill="1" applyBorder="1" applyAlignment="1">
      <alignment horizontal="right" vertical="center" shrinkToFit="1"/>
    </xf>
    <xf numFmtId="178" fontId="8" fillId="11" borderId="18" xfId="1" applyNumberFormat="1" applyFont="1" applyFill="1" applyBorder="1" applyAlignment="1" applyProtection="1">
      <alignment horizontal="right" vertical="center"/>
      <protection hidden="1"/>
    </xf>
    <xf numFmtId="178" fontId="8" fillId="11" borderId="19" xfId="1" applyNumberFormat="1" applyFont="1" applyFill="1" applyBorder="1" applyAlignment="1" applyProtection="1">
      <alignment horizontal="right" vertical="center"/>
      <protection hidden="1"/>
    </xf>
    <xf numFmtId="179" fontId="8" fillId="12" borderId="41" xfId="1" applyNumberFormat="1" applyFont="1" applyFill="1" applyBorder="1" applyAlignment="1" applyProtection="1">
      <alignment horizontal="right" vertical="center"/>
      <protection hidden="1"/>
    </xf>
    <xf numFmtId="179" fontId="8" fillId="12" borderId="42" xfId="1" applyNumberFormat="1" applyFont="1" applyFill="1" applyBorder="1" applyAlignment="1" applyProtection="1">
      <alignment horizontal="right" vertical="center"/>
      <protection hidden="1"/>
    </xf>
    <xf numFmtId="38" fontId="8" fillId="0" borderId="0" xfId="1" applyFont="1" applyBorder="1" applyAlignment="1">
      <alignment horizontal="center" vertical="center"/>
    </xf>
    <xf numFmtId="38" fontId="8" fillId="4" borderId="9" xfId="1" applyFont="1" applyFill="1" applyBorder="1" applyAlignment="1" applyProtection="1">
      <alignment horizontal="right" vertical="center"/>
      <protection locked="0"/>
    </xf>
    <xf numFmtId="38" fontId="8" fillId="4" borderId="10" xfId="1" applyFont="1" applyFill="1" applyBorder="1" applyAlignment="1" applyProtection="1">
      <alignment horizontal="right" vertical="center"/>
      <protection locked="0"/>
    </xf>
    <xf numFmtId="38" fontId="8" fillId="0" borderId="41" xfId="0" applyNumberFormat="1" applyFont="1" applyFill="1" applyBorder="1" applyAlignment="1" applyProtection="1">
      <alignment horizontal="right" vertical="center"/>
      <protection hidden="1"/>
    </xf>
    <xf numFmtId="0" fontId="8" fillId="0" borderId="42" xfId="0" applyFont="1" applyFill="1" applyBorder="1" applyAlignment="1" applyProtection="1">
      <alignment horizontal="right" vertical="center"/>
      <protection hidden="1"/>
    </xf>
    <xf numFmtId="38" fontId="8" fillId="5" borderId="41" xfId="1" applyFont="1" applyFill="1" applyBorder="1" applyAlignment="1">
      <alignment horizontal="right" vertical="center"/>
    </xf>
    <xf numFmtId="38" fontId="8" fillId="5" borderId="42" xfId="1" applyFont="1" applyFill="1" applyBorder="1" applyAlignment="1">
      <alignment horizontal="right" vertical="center"/>
    </xf>
    <xf numFmtId="38" fontId="8" fillId="0" borderId="9" xfId="1" applyFont="1" applyBorder="1" applyAlignment="1">
      <alignment horizontal="center" vertical="center"/>
    </xf>
    <xf numFmtId="38" fontId="8" fillId="0" borderId="14" xfId="1" applyFont="1" applyBorder="1" applyAlignment="1">
      <alignment horizontal="center" vertical="center"/>
    </xf>
    <xf numFmtId="0" fontId="8" fillId="0" borderId="40" xfId="0" applyFont="1" applyFill="1" applyBorder="1" applyAlignment="1" applyProtection="1">
      <alignment horizontal="center" vertical="center"/>
      <protection hidden="1"/>
    </xf>
    <xf numFmtId="0" fontId="8" fillId="0" borderId="19" xfId="0" applyFont="1" applyFill="1" applyBorder="1" applyAlignment="1" applyProtection="1">
      <alignment horizontal="center" vertical="center"/>
      <protection hidden="1"/>
    </xf>
    <xf numFmtId="0" fontId="8" fillId="0" borderId="40" xfId="0" applyFont="1" applyBorder="1" applyAlignment="1">
      <alignment horizontal="center" vertical="center"/>
    </xf>
    <xf numFmtId="10" fontId="8" fillId="16" borderId="3" xfId="2" applyNumberFormat="1" applyFont="1" applyFill="1" applyBorder="1" applyAlignment="1">
      <alignment horizontal="center" vertical="center" wrapText="1"/>
    </xf>
    <xf numFmtId="38" fontId="9" fillId="4" borderId="14" xfId="1" applyFont="1" applyFill="1" applyBorder="1" applyAlignment="1" applyProtection="1">
      <alignment horizontal="center" vertical="center" shrinkToFit="1"/>
      <protection locked="0"/>
    </xf>
    <xf numFmtId="38" fontId="9" fillId="4" borderId="10" xfId="1" applyFont="1" applyFill="1" applyBorder="1" applyAlignment="1" applyProtection="1">
      <alignment horizontal="center" vertical="center" shrinkToFit="1"/>
      <protection locked="0"/>
    </xf>
    <xf numFmtId="38" fontId="9" fillId="4" borderId="40" xfId="1" applyFont="1" applyFill="1" applyBorder="1" applyAlignment="1" applyProtection="1">
      <alignment horizontal="center" vertical="center" shrinkToFit="1"/>
      <protection locked="0"/>
    </xf>
    <xf numFmtId="38" fontId="9" fillId="4" borderId="19" xfId="1" applyFont="1" applyFill="1" applyBorder="1" applyAlignment="1" applyProtection="1">
      <alignment horizontal="center" vertical="center" shrinkToFit="1"/>
      <protection locked="0"/>
    </xf>
    <xf numFmtId="38" fontId="9" fillId="11" borderId="14" xfId="1" applyFont="1" applyFill="1" applyBorder="1" applyAlignment="1" applyProtection="1">
      <alignment horizontal="center" vertical="center" shrinkToFit="1"/>
      <protection hidden="1"/>
    </xf>
    <xf numFmtId="38" fontId="9" fillId="11" borderId="10" xfId="1" applyFont="1" applyFill="1" applyBorder="1" applyAlignment="1" applyProtection="1">
      <alignment horizontal="center" vertical="center" shrinkToFit="1"/>
      <protection hidden="1"/>
    </xf>
    <xf numFmtId="38" fontId="8" fillId="0" borderId="48" xfId="1" applyFont="1" applyFill="1" applyBorder="1" applyAlignment="1" applyProtection="1">
      <alignment horizontal="right" vertical="center"/>
      <protection hidden="1"/>
    </xf>
    <xf numFmtId="38" fontId="8" fillId="0" borderId="5" xfId="1" applyFont="1" applyFill="1" applyBorder="1" applyAlignment="1" applyProtection="1">
      <alignment horizontal="right" vertical="center"/>
      <protection hidden="1"/>
    </xf>
    <xf numFmtId="3" fontId="8" fillId="4" borderId="9" xfId="1" applyNumberFormat="1" applyFont="1" applyFill="1" applyBorder="1" applyAlignment="1" applyProtection="1">
      <alignment horizontal="right" vertical="center"/>
      <protection locked="0"/>
    </xf>
    <xf numFmtId="3" fontId="8" fillId="4" borderId="10" xfId="1" applyNumberFormat="1" applyFont="1" applyFill="1" applyBorder="1" applyAlignment="1" applyProtection="1">
      <alignment horizontal="right" vertical="center"/>
      <protection locked="0"/>
    </xf>
    <xf numFmtId="3" fontId="8" fillId="4" borderId="18" xfId="1" applyNumberFormat="1" applyFont="1" applyFill="1" applyBorder="1" applyAlignment="1" applyProtection="1">
      <alignment horizontal="right" vertical="center"/>
      <protection locked="0"/>
    </xf>
    <xf numFmtId="3" fontId="8" fillId="4" borderId="19" xfId="1" applyNumberFormat="1" applyFont="1" applyFill="1" applyBorder="1" applyAlignment="1" applyProtection="1">
      <alignment horizontal="right" vertical="center"/>
      <protection locked="0"/>
    </xf>
    <xf numFmtId="38" fontId="8" fillId="4" borderId="9" xfId="1" applyFont="1" applyFill="1" applyBorder="1" applyAlignment="1" applyProtection="1">
      <alignment horizontal="right" vertical="center" shrinkToFit="1"/>
      <protection locked="0"/>
    </xf>
    <xf numFmtId="38" fontId="8" fillId="4" borderId="10" xfId="1" applyFont="1" applyFill="1" applyBorder="1" applyAlignment="1" applyProtection="1">
      <alignment horizontal="right" vertical="center" shrinkToFit="1"/>
      <protection locked="0"/>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49" xfId="0" applyFont="1" applyBorder="1" applyAlignment="1">
      <alignment horizontal="center" vertical="top" textRotation="255" wrapText="1"/>
    </xf>
    <xf numFmtId="0" fontId="8" fillId="0" borderId="50" xfId="0" applyFont="1" applyBorder="1" applyAlignment="1">
      <alignment horizontal="center" vertical="top" textRotation="255"/>
    </xf>
    <xf numFmtId="38" fontId="8" fillId="4" borderId="49" xfId="1" applyFont="1" applyFill="1" applyBorder="1" applyAlignment="1" applyProtection="1">
      <alignment horizontal="center" vertical="center" shrinkToFit="1"/>
      <protection locked="0"/>
    </xf>
    <xf numFmtId="38" fontId="8" fillId="4" borderId="50" xfId="1" applyFont="1" applyFill="1" applyBorder="1" applyAlignment="1" applyProtection="1">
      <alignment horizontal="center" vertical="center" shrinkToFit="1"/>
      <protection locked="0"/>
    </xf>
    <xf numFmtId="38" fontId="9" fillId="4" borderId="9" xfId="1" applyFont="1" applyFill="1" applyBorder="1" applyAlignment="1" applyProtection="1">
      <alignment horizontal="center" vertical="center" shrinkToFit="1"/>
      <protection locked="0"/>
    </xf>
    <xf numFmtId="38" fontId="9" fillId="4" borderId="18" xfId="1" applyFont="1" applyFill="1" applyBorder="1" applyAlignment="1" applyProtection="1">
      <alignment horizontal="center" vertical="center" shrinkToFit="1"/>
      <protection locked="0"/>
    </xf>
    <xf numFmtId="178" fontId="7" fillId="0" borderId="41" xfId="1" applyNumberFormat="1" applyFont="1" applyFill="1" applyBorder="1" applyAlignment="1" applyProtection="1">
      <alignment horizontal="right" vertical="center"/>
      <protection hidden="1"/>
    </xf>
    <xf numFmtId="178" fontId="7" fillId="0" borderId="43" xfId="1" applyNumberFormat="1" applyFont="1" applyFill="1" applyBorder="1" applyAlignment="1" applyProtection="1">
      <alignment horizontal="right" vertical="center"/>
      <protection hidden="1"/>
    </xf>
    <xf numFmtId="0" fontId="9" fillId="12" borderId="41" xfId="0" applyFont="1" applyFill="1" applyBorder="1" applyAlignment="1">
      <alignment horizontal="center" vertical="center"/>
    </xf>
    <xf numFmtId="0" fontId="9" fillId="12" borderId="43" xfId="0" applyFont="1" applyFill="1" applyBorder="1" applyAlignment="1">
      <alignment horizontal="center" vertical="center"/>
    </xf>
    <xf numFmtId="0" fontId="9" fillId="13" borderId="41" xfId="0" applyFont="1" applyFill="1" applyBorder="1" applyAlignment="1">
      <alignment horizontal="center" vertical="center"/>
    </xf>
    <xf numFmtId="0" fontId="9" fillId="13" borderId="43" xfId="0" applyFont="1" applyFill="1" applyBorder="1" applyAlignment="1">
      <alignment horizontal="center" vertical="center"/>
    </xf>
    <xf numFmtId="0" fontId="9" fillId="13" borderId="42" xfId="0" applyFont="1" applyFill="1" applyBorder="1" applyAlignment="1">
      <alignment horizontal="center" vertical="center"/>
    </xf>
    <xf numFmtId="58" fontId="9" fillId="0" borderId="41" xfId="0" applyNumberFormat="1" applyFont="1" applyFill="1" applyBorder="1" applyAlignment="1" applyProtection="1">
      <alignment horizontal="left" vertical="center" indent="1"/>
      <protection hidden="1"/>
    </xf>
    <xf numFmtId="58" fontId="9" fillId="0" borderId="42" xfId="0" applyNumberFormat="1" applyFont="1" applyFill="1" applyBorder="1" applyAlignment="1" applyProtection="1">
      <alignment horizontal="left" vertical="center" indent="1"/>
      <protection hidden="1"/>
    </xf>
    <xf numFmtId="58" fontId="9" fillId="0" borderId="43" xfId="0" applyNumberFormat="1" applyFont="1" applyFill="1" applyBorder="1" applyAlignment="1" applyProtection="1">
      <alignment horizontal="left" vertical="center" indent="1"/>
      <protection hidden="1"/>
    </xf>
    <xf numFmtId="178" fontId="10" fillId="0" borderId="41" xfId="1" applyNumberFormat="1" applyFont="1" applyFill="1" applyBorder="1" applyAlignment="1" applyProtection="1">
      <alignment horizontal="right" vertical="center"/>
      <protection hidden="1"/>
    </xf>
    <xf numFmtId="178" fontId="10" fillId="0" borderId="43" xfId="1" applyNumberFormat="1" applyFont="1" applyFill="1" applyBorder="1" applyAlignment="1" applyProtection="1">
      <alignment horizontal="right" vertical="center"/>
      <protection hidden="1"/>
    </xf>
    <xf numFmtId="178" fontId="23" fillId="11" borderId="4" xfId="0" applyNumberFormat="1" applyFont="1" applyFill="1" applyBorder="1" applyAlignment="1" applyProtection="1">
      <alignment horizontal="right" vertical="center"/>
      <protection hidden="1"/>
    </xf>
    <xf numFmtId="178" fontId="23" fillId="11" borderId="5" xfId="0" applyNumberFormat="1" applyFont="1" applyFill="1" applyBorder="1" applyAlignment="1" applyProtection="1">
      <alignment horizontal="right" vertical="center"/>
      <protection hidden="1"/>
    </xf>
    <xf numFmtId="178" fontId="23" fillId="11" borderId="6" xfId="0" applyNumberFormat="1" applyFont="1" applyFill="1" applyBorder="1" applyAlignment="1" applyProtection="1">
      <alignment horizontal="right" vertical="center"/>
      <protection hidden="1"/>
    </xf>
    <xf numFmtId="0" fontId="10" fillId="0" borderId="39" xfId="0" applyFont="1" applyBorder="1" applyAlignment="1">
      <alignment horizontal="center" vertical="center"/>
    </xf>
    <xf numFmtId="0" fontId="7" fillId="0" borderId="0" xfId="0" applyFont="1" applyAlignment="1">
      <alignment horizontal="center" vertical="center"/>
    </xf>
    <xf numFmtId="0" fontId="31" fillId="0" borderId="0" xfId="0" applyFont="1" applyAlignment="1">
      <alignment horizontal="left" vertical="center"/>
    </xf>
    <xf numFmtId="0" fontId="9" fillId="0" borderId="40" xfId="0" applyFont="1" applyBorder="1" applyAlignment="1">
      <alignment horizontal="center" vertical="center"/>
    </xf>
    <xf numFmtId="38" fontId="23" fillId="11" borderId="7" xfId="1" applyFont="1" applyFill="1" applyBorder="1" applyAlignment="1" applyProtection="1">
      <alignment horizontal="right" vertical="center"/>
      <protection hidden="1"/>
    </xf>
    <xf numFmtId="38" fontId="23" fillId="11" borderId="8" xfId="1" applyFont="1" applyFill="1" applyBorder="1" applyAlignment="1" applyProtection="1">
      <alignment horizontal="right" vertical="center"/>
      <protection hidden="1"/>
    </xf>
    <xf numFmtId="1" fontId="10" fillId="0" borderId="37" xfId="0" applyNumberFormat="1" applyFont="1" applyBorder="1" applyAlignment="1">
      <alignment horizontal="center" vertical="center"/>
    </xf>
    <xf numFmtId="1" fontId="10" fillId="0" borderId="0" xfId="0" applyNumberFormat="1" applyFont="1" applyBorder="1" applyAlignment="1">
      <alignment horizontal="center" vertical="center"/>
    </xf>
    <xf numFmtId="1" fontId="10" fillId="0" borderId="35" xfId="0" applyNumberFormat="1" applyFont="1" applyBorder="1" applyAlignment="1">
      <alignment horizontal="center" vertical="center"/>
    </xf>
    <xf numFmtId="1" fontId="26" fillId="0" borderId="1" xfId="0" applyNumberFormat="1" applyFont="1" applyBorder="1" applyAlignment="1">
      <alignment horizontal="center" vertical="center"/>
    </xf>
    <xf numFmtId="1" fontId="26" fillId="0" borderId="0"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10" borderId="18" xfId="0" applyFont="1" applyFill="1" applyBorder="1" applyAlignment="1">
      <alignment horizontal="center" vertical="center"/>
    </xf>
    <xf numFmtId="0" fontId="8" fillId="10" borderId="40" xfId="0" applyFont="1" applyFill="1" applyBorder="1" applyAlignment="1">
      <alignment horizontal="center" vertical="center"/>
    </xf>
    <xf numFmtId="0" fontId="8" fillId="10" borderId="19" xfId="0" applyFont="1" applyFill="1" applyBorder="1" applyAlignment="1">
      <alignment horizontal="center" vertical="center"/>
    </xf>
    <xf numFmtId="0" fontId="38" fillId="0" borderId="14" xfId="0" applyFont="1" applyFill="1" applyBorder="1" applyAlignment="1">
      <alignment vertical="center" wrapText="1"/>
    </xf>
    <xf numFmtId="0" fontId="38" fillId="0" borderId="0" xfId="0" applyFont="1" applyFill="1" applyBorder="1" applyAlignment="1">
      <alignmen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36" fillId="0" borderId="9" xfId="0" applyFont="1" applyBorder="1" applyAlignment="1">
      <alignment horizontal="center" vertical="center" textRotation="255" wrapText="1"/>
    </xf>
    <xf numFmtId="0" fontId="36" fillId="0" borderId="10" xfId="0" applyFont="1" applyBorder="1" applyAlignment="1">
      <alignment horizontal="center" vertical="center" textRotation="255"/>
    </xf>
    <xf numFmtId="0" fontId="36" fillId="0" borderId="18" xfId="0" applyFont="1" applyBorder="1" applyAlignment="1">
      <alignment horizontal="center" vertical="center" textRotation="255"/>
    </xf>
    <xf numFmtId="0" fontId="36" fillId="0" borderId="19" xfId="0" applyFont="1" applyBorder="1" applyAlignment="1">
      <alignment horizontal="center" vertical="center" textRotation="255"/>
    </xf>
    <xf numFmtId="0" fontId="8" fillId="0" borderId="18"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4" xfId="0" applyFont="1" applyBorder="1" applyAlignment="1">
      <alignment horizontal="center" vertical="center"/>
    </xf>
    <xf numFmtId="0" fontId="14" fillId="17" borderId="9" xfId="0" applyFont="1" applyFill="1" applyBorder="1" applyAlignment="1">
      <alignment horizontal="center" vertical="center" shrinkToFit="1"/>
    </xf>
    <xf numFmtId="0" fontId="14" fillId="17" borderId="14" xfId="0" applyFont="1" applyFill="1" applyBorder="1" applyAlignment="1">
      <alignment horizontal="center" vertical="center" shrinkToFit="1"/>
    </xf>
    <xf numFmtId="0" fontId="14" fillId="17" borderId="10" xfId="0" applyFont="1" applyFill="1" applyBorder="1" applyAlignment="1">
      <alignment horizontal="center" vertical="center" shrinkToFi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7" xfId="0" applyFont="1" applyFill="1" applyBorder="1" applyAlignment="1">
      <alignment horizontal="center" vertical="center"/>
    </xf>
    <xf numFmtId="0" fontId="34" fillId="0" borderId="0" xfId="0" applyFont="1" applyAlignment="1">
      <alignment horizontal="center" vertical="center"/>
    </xf>
    <xf numFmtId="0" fontId="2" fillId="14" borderId="9" xfId="0" applyFont="1" applyFill="1" applyBorder="1" applyAlignment="1">
      <alignment horizontal="center" vertical="center"/>
    </xf>
    <xf numFmtId="0" fontId="2" fillId="14" borderId="14" xfId="0" applyFont="1" applyFill="1" applyBorder="1" applyAlignment="1">
      <alignment horizontal="center" vertical="center"/>
    </xf>
    <xf numFmtId="0" fontId="2" fillId="14" borderId="10" xfId="0" applyFont="1" applyFill="1" applyBorder="1" applyAlignment="1">
      <alignment horizontal="center" vertical="center"/>
    </xf>
    <xf numFmtId="0" fontId="2" fillId="14" borderId="18" xfId="0" applyFont="1" applyFill="1" applyBorder="1" applyAlignment="1">
      <alignment horizontal="center" vertical="center"/>
    </xf>
    <xf numFmtId="0" fontId="2" fillId="14" borderId="40" xfId="0" applyFont="1" applyFill="1" applyBorder="1" applyAlignment="1">
      <alignment horizontal="center" vertical="center"/>
    </xf>
    <xf numFmtId="0" fontId="2" fillId="14" borderId="19" xfId="0" applyFont="1" applyFill="1" applyBorder="1" applyAlignment="1">
      <alignment horizontal="center" vertical="center"/>
    </xf>
    <xf numFmtId="0" fontId="8" fillId="14" borderId="9" xfId="0" applyFont="1" applyFill="1" applyBorder="1" applyAlignment="1">
      <alignment horizontal="center" vertical="center" shrinkToFit="1"/>
    </xf>
    <xf numFmtId="0" fontId="8" fillId="14" borderId="14" xfId="0" applyFont="1" applyFill="1" applyBorder="1" applyAlignment="1">
      <alignment horizontal="center" vertical="center" shrinkToFit="1"/>
    </xf>
    <xf numFmtId="0" fontId="8" fillId="14" borderId="10" xfId="0" applyFont="1" applyFill="1" applyBorder="1" applyAlignment="1">
      <alignment horizontal="center" vertical="center" shrinkToFit="1"/>
    </xf>
    <xf numFmtId="0" fontId="8" fillId="14" borderId="18" xfId="0" applyFont="1" applyFill="1" applyBorder="1" applyAlignment="1">
      <alignment horizontal="center" vertical="center" shrinkToFit="1"/>
    </xf>
    <xf numFmtId="0" fontId="8" fillId="14" borderId="40" xfId="0" applyFont="1" applyFill="1" applyBorder="1" applyAlignment="1">
      <alignment horizontal="center" vertical="center" shrinkToFit="1"/>
    </xf>
    <xf numFmtId="0" fontId="8" fillId="14" borderId="19" xfId="0" applyFont="1" applyFill="1" applyBorder="1" applyAlignment="1">
      <alignment horizontal="center" vertical="center" shrinkToFit="1"/>
    </xf>
    <xf numFmtId="38" fontId="8" fillId="0" borderId="1" xfId="1" applyFont="1" applyBorder="1" applyAlignment="1">
      <alignment horizontal="center" vertical="center"/>
    </xf>
    <xf numFmtId="38" fontId="8" fillId="0" borderId="9" xfId="1" applyFont="1" applyBorder="1" applyAlignment="1">
      <alignment horizontal="right" vertical="center"/>
    </xf>
    <xf numFmtId="38" fontId="8" fillId="0" borderId="14" xfId="1" applyFont="1" applyBorder="1" applyAlignment="1">
      <alignment horizontal="right" vertical="center"/>
    </xf>
    <xf numFmtId="38" fontId="8" fillId="0" borderId="10" xfId="1" applyFont="1" applyBorder="1" applyAlignment="1">
      <alignment horizontal="right" vertical="center"/>
    </xf>
    <xf numFmtId="0" fontId="9" fillId="9" borderId="0" xfId="0" applyFont="1" applyFill="1" applyAlignment="1">
      <alignment horizontal="right" vertical="center"/>
    </xf>
    <xf numFmtId="38" fontId="8" fillId="0" borderId="18" xfId="1" applyFont="1" applyBorder="1" applyAlignment="1">
      <alignment horizontal="center" vertical="center"/>
    </xf>
    <xf numFmtId="38" fontId="8" fillId="0" borderId="19" xfId="1" applyFont="1" applyBorder="1" applyAlignment="1">
      <alignment horizontal="center" vertical="center"/>
    </xf>
    <xf numFmtId="58" fontId="33" fillId="0" borderId="0" xfId="0" applyNumberFormat="1" applyFont="1" applyAlignment="1" applyProtection="1">
      <alignment horizontal="center" vertical="center"/>
      <protection hidden="1"/>
    </xf>
    <xf numFmtId="0" fontId="40" fillId="0" borderId="3" xfId="0" applyFont="1" applyBorder="1" applyAlignment="1">
      <alignment horizontal="center" vertical="center"/>
    </xf>
    <xf numFmtId="0" fontId="40" fillId="19" borderId="3" xfId="0" applyFont="1" applyFill="1" applyBorder="1" applyAlignment="1">
      <alignment horizontal="center" vertical="center"/>
    </xf>
    <xf numFmtId="180" fontId="8" fillId="15" borderId="41" xfId="0" applyNumberFormat="1" applyFont="1" applyFill="1" applyBorder="1" applyAlignment="1">
      <alignment horizontal="right" vertical="center"/>
    </xf>
    <xf numFmtId="180" fontId="8" fillId="15" borderId="42" xfId="0" applyNumberFormat="1" applyFont="1" applyFill="1" applyBorder="1" applyAlignment="1">
      <alignment horizontal="right" vertical="center"/>
    </xf>
    <xf numFmtId="180" fontId="8" fillId="0" borderId="41" xfId="0" applyNumberFormat="1" applyFont="1" applyBorder="1" applyAlignment="1">
      <alignment horizontal="right" vertical="center"/>
    </xf>
    <xf numFmtId="180" fontId="8" fillId="0" borderId="42" xfId="0" applyNumberFormat="1" applyFont="1" applyBorder="1" applyAlignment="1">
      <alignment horizontal="right" vertical="center"/>
    </xf>
    <xf numFmtId="179" fontId="14" fillId="0" borderId="9" xfId="1" applyNumberFormat="1" applyFont="1" applyFill="1" applyBorder="1" applyAlignment="1" applyProtection="1">
      <alignment horizontal="right" vertical="center"/>
      <protection hidden="1"/>
    </xf>
    <xf numFmtId="179" fontId="14" fillId="0" borderId="14" xfId="1" applyNumberFormat="1" applyFont="1" applyFill="1" applyBorder="1" applyAlignment="1" applyProtection="1">
      <alignment horizontal="right" vertical="center"/>
      <protection hidden="1"/>
    </xf>
    <xf numFmtId="0" fontId="8" fillId="15" borderId="41" xfId="0" applyFont="1" applyFill="1" applyBorder="1" applyAlignment="1">
      <alignment horizontal="left" vertical="center"/>
    </xf>
    <xf numFmtId="0" fontId="8" fillId="15" borderId="42" xfId="0" applyFont="1" applyFill="1" applyBorder="1" applyAlignment="1">
      <alignment horizontal="left" vertical="center"/>
    </xf>
    <xf numFmtId="0" fontId="8" fillId="15" borderId="43" xfId="0" applyFont="1" applyFill="1" applyBorder="1" applyAlignment="1">
      <alignment horizontal="left" vertical="center"/>
    </xf>
    <xf numFmtId="0" fontId="8" fillId="16" borderId="9" xfId="0" applyFont="1" applyFill="1" applyBorder="1" applyAlignment="1">
      <alignment horizontal="left" vertical="center" wrapText="1"/>
    </xf>
    <xf numFmtId="0" fontId="8" fillId="16" borderId="14" xfId="0" applyFont="1" applyFill="1" applyBorder="1" applyAlignment="1">
      <alignment horizontal="left" vertical="center" wrapText="1"/>
    </xf>
    <xf numFmtId="0" fontId="8" fillId="16" borderId="10" xfId="0" applyFont="1" applyFill="1" applyBorder="1" applyAlignment="1">
      <alignment horizontal="left" vertical="center" wrapText="1"/>
    </xf>
    <xf numFmtId="0" fontId="8" fillId="16" borderId="1" xfId="0" applyFont="1" applyFill="1" applyBorder="1" applyAlignment="1">
      <alignment horizontal="left" vertical="center" wrapText="1"/>
    </xf>
    <xf numFmtId="0" fontId="8" fillId="16" borderId="0" xfId="0" applyFont="1" applyFill="1" applyBorder="1" applyAlignment="1">
      <alignment horizontal="left" vertical="center" wrapText="1"/>
    </xf>
    <xf numFmtId="0" fontId="8" fillId="16" borderId="2" xfId="0" applyFont="1" applyFill="1" applyBorder="1" applyAlignment="1">
      <alignment horizontal="left" vertical="center" wrapText="1"/>
    </xf>
    <xf numFmtId="10" fontId="8" fillId="16" borderId="3" xfId="0" applyNumberFormat="1" applyFont="1" applyFill="1" applyBorder="1" applyAlignment="1">
      <alignment horizontal="center" vertical="center"/>
    </xf>
    <xf numFmtId="10" fontId="8" fillId="16" borderId="41" xfId="2" applyNumberFormat="1" applyFont="1" applyFill="1" applyBorder="1" applyAlignment="1">
      <alignment horizontal="center" vertical="center" wrapText="1"/>
    </xf>
    <xf numFmtId="0" fontId="8" fillId="0" borderId="14" xfId="0" applyFont="1" applyFill="1" applyBorder="1" applyAlignment="1">
      <alignment horizontal="left" vertical="center"/>
    </xf>
    <xf numFmtId="0" fontId="8" fillId="0" borderId="40" xfId="0" applyFont="1" applyFill="1" applyBorder="1" applyAlignment="1">
      <alignment horizontal="left" vertical="center"/>
    </xf>
    <xf numFmtId="38" fontId="8" fillId="10" borderId="18" xfId="1" applyFont="1" applyFill="1" applyBorder="1" applyAlignment="1">
      <alignment horizontal="right" vertical="center"/>
    </xf>
    <xf numFmtId="38" fontId="8" fillId="10" borderId="40" xfId="1" applyFont="1" applyFill="1" applyBorder="1" applyAlignment="1">
      <alignment horizontal="right" vertical="center"/>
    </xf>
    <xf numFmtId="0" fontId="8" fillId="5" borderId="41" xfId="0" applyFont="1" applyFill="1" applyBorder="1" applyAlignment="1">
      <alignment horizontal="left" vertical="center"/>
    </xf>
    <xf numFmtId="0" fontId="8" fillId="5" borderId="42" xfId="0" applyFont="1" applyFill="1" applyBorder="1" applyAlignment="1">
      <alignment horizontal="left" vertical="center"/>
    </xf>
    <xf numFmtId="0" fontId="8" fillId="5" borderId="43" xfId="0" applyFont="1" applyFill="1" applyBorder="1" applyAlignment="1">
      <alignment horizontal="left"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8" fillId="5" borderId="14" xfId="0" applyFont="1" applyFill="1" applyBorder="1" applyAlignment="1">
      <alignment horizontal="left" vertical="center"/>
    </xf>
    <xf numFmtId="0" fontId="8" fillId="5" borderId="10" xfId="0" applyFont="1" applyFill="1" applyBorder="1" applyAlignment="1">
      <alignment horizontal="left" vertical="center"/>
    </xf>
    <xf numFmtId="0" fontId="8" fillId="5" borderId="0" xfId="0" applyFont="1" applyFill="1" applyBorder="1" applyAlignment="1">
      <alignment horizontal="left" vertical="center"/>
    </xf>
    <xf numFmtId="0" fontId="8" fillId="5" borderId="2" xfId="0" applyFont="1" applyFill="1" applyBorder="1" applyAlignment="1">
      <alignment horizontal="left" vertical="center"/>
    </xf>
    <xf numFmtId="0" fontId="8" fillId="12" borderId="41" xfId="0" applyFont="1" applyFill="1" applyBorder="1" applyAlignment="1">
      <alignment horizontal="center" vertical="center"/>
    </xf>
    <xf numFmtId="0" fontId="8" fillId="12" borderId="42" xfId="0" applyFont="1" applyFill="1" applyBorder="1" applyAlignment="1">
      <alignment horizontal="center" vertical="center"/>
    </xf>
    <xf numFmtId="38" fontId="8" fillId="0" borderId="40" xfId="1" applyFont="1" applyBorder="1" applyAlignment="1">
      <alignment horizontal="center" vertical="center"/>
    </xf>
    <xf numFmtId="0" fontId="39" fillId="0" borderId="9" xfId="0" applyFont="1" applyBorder="1" applyAlignment="1">
      <alignment horizontal="left" vertical="top" wrapText="1"/>
    </xf>
    <xf numFmtId="0" fontId="39" fillId="0" borderId="14" xfId="0" applyFont="1" applyBorder="1" applyAlignment="1">
      <alignment horizontal="left" vertical="top" wrapText="1"/>
    </xf>
    <xf numFmtId="0" fontId="39" fillId="0" borderId="10" xfId="0" applyFont="1" applyBorder="1" applyAlignment="1">
      <alignment horizontal="left" vertical="top" wrapText="1"/>
    </xf>
    <xf numFmtId="0" fontId="39" fillId="0" borderId="1" xfId="0" applyFont="1" applyBorder="1" applyAlignment="1">
      <alignment horizontal="left" vertical="top" wrapText="1"/>
    </xf>
    <xf numFmtId="0" fontId="39" fillId="0" borderId="0" xfId="0" applyFont="1" applyBorder="1" applyAlignment="1">
      <alignment horizontal="left" vertical="top" wrapText="1"/>
    </xf>
    <xf numFmtId="0" fontId="39" fillId="0" borderId="2" xfId="0" applyFont="1" applyBorder="1" applyAlignment="1">
      <alignment horizontal="left" vertical="top" wrapText="1"/>
    </xf>
    <xf numFmtId="0" fontId="39" fillId="0" borderId="18" xfId="0" applyFont="1" applyBorder="1" applyAlignment="1">
      <alignment horizontal="left" vertical="top" wrapText="1"/>
    </xf>
    <xf numFmtId="0" fontId="39" fillId="0" borderId="40" xfId="0" applyFont="1" applyBorder="1" applyAlignment="1">
      <alignment horizontal="left" vertical="top" wrapText="1"/>
    </xf>
    <xf numFmtId="0" fontId="39" fillId="0" borderId="19" xfId="0" applyFont="1" applyBorder="1" applyAlignment="1">
      <alignment horizontal="left" vertical="top" wrapText="1"/>
    </xf>
    <xf numFmtId="0" fontId="9" fillId="0" borderId="0" xfId="0" applyFont="1" applyBorder="1" applyAlignment="1">
      <alignment vertical="center" wrapText="1"/>
    </xf>
    <xf numFmtId="58" fontId="9" fillId="0" borderId="41" xfId="0" applyNumberFormat="1" applyFont="1" applyFill="1" applyBorder="1" applyAlignment="1" applyProtection="1">
      <alignment horizontal="center" vertical="center"/>
      <protection hidden="1"/>
    </xf>
    <xf numFmtId="58" fontId="9" fillId="0" borderId="42" xfId="0" applyNumberFormat="1" applyFont="1" applyFill="1" applyBorder="1" applyAlignment="1" applyProtection="1">
      <alignment horizontal="center" vertical="center"/>
      <protection hidden="1"/>
    </xf>
    <xf numFmtId="58" fontId="9" fillId="0" borderId="43" xfId="0" applyNumberFormat="1" applyFont="1" applyFill="1" applyBorder="1" applyAlignment="1" applyProtection="1">
      <alignment horizontal="center" vertical="center"/>
      <protection hidden="1"/>
    </xf>
    <xf numFmtId="0" fontId="9" fillId="0" borderId="9" xfId="0" applyFont="1" applyFill="1" applyBorder="1" applyAlignment="1">
      <alignment horizontal="center" vertical="center"/>
    </xf>
    <xf numFmtId="0" fontId="9" fillId="0" borderId="14" xfId="0" applyFont="1" applyFill="1" applyBorder="1" applyAlignment="1">
      <alignment horizontal="center" vertical="center"/>
    </xf>
    <xf numFmtId="177"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17" fillId="8" borderId="9" xfId="0" applyFont="1" applyFill="1" applyBorder="1" applyAlignment="1">
      <alignment horizontal="center" vertical="center"/>
    </xf>
    <xf numFmtId="0" fontId="17" fillId="8" borderId="10"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18" xfId="0" applyFont="1" applyFill="1" applyBorder="1" applyAlignment="1">
      <alignment horizontal="center" vertical="center"/>
    </xf>
    <xf numFmtId="0" fontId="17" fillId="8" borderId="19" xfId="0" applyFont="1"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13" xfId="0" applyFill="1" applyBorder="1" applyAlignment="1">
      <alignment horizontal="center" vertical="center"/>
    </xf>
    <xf numFmtId="0" fontId="0" fillId="8" borderId="9" xfId="0" applyFill="1" applyBorder="1" applyAlignment="1">
      <alignment horizontal="center" vertical="center"/>
    </xf>
    <xf numFmtId="0" fontId="0" fillId="8" borderId="14" xfId="0" applyFill="1" applyBorder="1" applyAlignment="1">
      <alignment horizontal="center" vertical="center"/>
    </xf>
    <xf numFmtId="0" fontId="0" fillId="8" borderId="10" xfId="0" applyFill="1" applyBorder="1" applyAlignment="1">
      <alignment horizontal="center" vertical="center"/>
    </xf>
    <xf numFmtId="0" fontId="0" fillId="8" borderId="15" xfId="0" applyFill="1" applyBorder="1" applyAlignment="1">
      <alignment horizontal="center" vertical="center"/>
    </xf>
    <xf numFmtId="0" fontId="0" fillId="8" borderId="25" xfId="0" applyFill="1" applyBorder="1" applyAlignment="1">
      <alignment horizontal="center" vertical="center"/>
    </xf>
    <xf numFmtId="0" fontId="21" fillId="8" borderId="16" xfId="0" applyFont="1" applyFill="1" applyBorder="1" applyAlignment="1">
      <alignment horizontal="center" vertical="center"/>
    </xf>
    <xf numFmtId="0" fontId="21" fillId="8" borderId="26" xfId="0" applyFont="1" applyFill="1" applyBorder="1" applyAlignment="1">
      <alignment horizontal="center" vertical="center"/>
    </xf>
    <xf numFmtId="0" fontId="21" fillId="8" borderId="16" xfId="0" applyFont="1" applyFill="1" applyBorder="1" applyAlignment="1">
      <alignment horizontal="center" vertical="center" wrapText="1"/>
    </xf>
    <xf numFmtId="0" fontId="21" fillId="8" borderId="26" xfId="0" applyFont="1" applyFill="1" applyBorder="1" applyAlignment="1">
      <alignment horizontal="center" vertical="center" wrapText="1"/>
    </xf>
    <xf numFmtId="0" fontId="2" fillId="8" borderId="23" xfId="0" applyFont="1" applyFill="1" applyBorder="1" applyAlignment="1">
      <alignment horizontal="center" vertical="center"/>
    </xf>
    <xf numFmtId="0" fontId="2" fillId="8" borderId="24" xfId="0" applyFont="1" applyFill="1" applyBorder="1" applyAlignment="1">
      <alignment horizontal="center" vertical="center"/>
    </xf>
    <xf numFmtId="58" fontId="9" fillId="4" borderId="3" xfId="0" applyNumberFormat="1" applyFont="1" applyFill="1" applyBorder="1" applyAlignment="1">
      <alignment horizontal="left" vertical="center" indent="1"/>
    </xf>
    <xf numFmtId="0" fontId="9" fillId="4" borderId="3" xfId="0" applyFont="1" applyFill="1" applyBorder="1" applyAlignment="1">
      <alignment horizontal="left" vertical="center" indent="1"/>
    </xf>
    <xf numFmtId="0" fontId="9" fillId="0" borderId="3" xfId="0" applyFont="1" applyBorder="1" applyAlignment="1">
      <alignment horizontal="center" vertical="center"/>
    </xf>
    <xf numFmtId="0" fontId="21" fillId="8" borderId="28" xfId="0" applyFont="1" applyFill="1" applyBorder="1" applyAlignment="1">
      <alignment horizontal="center" vertical="center"/>
    </xf>
    <xf numFmtId="0" fontId="21" fillId="8" borderId="30" xfId="0" applyFont="1" applyFill="1" applyBorder="1" applyAlignment="1">
      <alignment horizontal="center" vertical="center"/>
    </xf>
    <xf numFmtId="0" fontId="9" fillId="0" borderId="43" xfId="0" applyFont="1" applyBorder="1" applyAlignment="1">
      <alignment horizontal="center" vertical="center"/>
    </xf>
    <xf numFmtId="38" fontId="27" fillId="0" borderId="40" xfId="0" applyNumberFormat="1" applyFont="1" applyBorder="1" applyAlignment="1">
      <alignment horizontal="right" vertical="center"/>
    </xf>
    <xf numFmtId="0" fontId="27" fillId="0" borderId="40" xfId="0" applyFont="1" applyBorder="1" applyAlignment="1">
      <alignment horizontal="right" vertical="center"/>
    </xf>
    <xf numFmtId="0" fontId="0" fillId="18" borderId="49" xfId="0" applyFill="1" applyBorder="1" applyAlignment="1">
      <alignment horizontal="center" vertical="center" wrapText="1"/>
    </xf>
    <xf numFmtId="0" fontId="0" fillId="18" borderId="50" xfId="0" applyFill="1" applyBorder="1" applyAlignment="1">
      <alignment horizontal="center" vertical="center"/>
    </xf>
    <xf numFmtId="0" fontId="0" fillId="0" borderId="14" xfId="0" applyBorder="1" applyAlignment="1">
      <alignment horizontal="center" vertical="center"/>
    </xf>
    <xf numFmtId="58" fontId="0" fillId="0" borderId="3" xfId="0" applyNumberFormat="1" applyFont="1" applyBorder="1" applyAlignment="1">
      <alignment horizontal="left" vertical="center" indent="1"/>
    </xf>
    <xf numFmtId="0" fontId="0" fillId="0" borderId="3" xfId="0" applyFont="1" applyBorder="1" applyAlignment="1">
      <alignment horizontal="left" vertical="center" indent="1"/>
    </xf>
    <xf numFmtId="0" fontId="0" fillId="0" borderId="0" xfId="0" applyAlignment="1">
      <alignment horizontal="center" vertical="center"/>
    </xf>
    <xf numFmtId="0" fontId="0" fillId="0" borderId="0" xfId="0"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66"/>
      <color rgb="FF99FF99"/>
      <color rgb="FFFF66FF"/>
      <color rgb="FFFF0066"/>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661147</xdr:colOff>
      <xdr:row>0</xdr:row>
      <xdr:rowOff>201705</xdr:rowOff>
    </xdr:from>
    <xdr:to>
      <xdr:col>14</xdr:col>
      <xdr:colOff>100853</xdr:colOff>
      <xdr:row>6</xdr:row>
      <xdr:rowOff>44822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001000" y="201705"/>
          <a:ext cx="2173941" cy="103094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公的年金等に係る雑所得以外の合計所得金額が</a:t>
          </a:r>
          <a:r>
            <a:rPr kumimoji="1" lang="en-US" altLang="ja-JP" sz="1100"/>
            <a:t>1000</a:t>
          </a:r>
          <a:r>
            <a:rPr kumimoji="1" lang="ja-JP" altLang="en-US" sz="1100"/>
            <a:t>万円以下の場合の計算。</a:t>
          </a:r>
          <a:endParaRPr kumimoji="1" lang="en-US" altLang="ja-JP" sz="1100"/>
        </a:p>
        <a:p>
          <a:pPr algn="l"/>
          <a:r>
            <a:rPr kumimoji="1" lang="en-US" altLang="ja-JP" sz="1100"/>
            <a:t>1000</a:t>
          </a:r>
          <a:r>
            <a:rPr kumimoji="1" lang="ja-JP" altLang="en-US" sz="1100"/>
            <a:t>万円超の場合は控除額が異なる。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1152525</xdr:colOff>
      <xdr:row>4</xdr:row>
      <xdr:rowOff>0</xdr:rowOff>
    </xdr:from>
    <xdr:to>
      <xdr:col>8</xdr:col>
      <xdr:colOff>409575</xdr:colOff>
      <xdr:row>8</xdr:row>
      <xdr:rowOff>85725</xdr:rowOff>
    </xdr:to>
    <xdr:sp macro="" textlink="">
      <xdr:nvSpPr>
        <xdr:cNvPr id="2" name="正方形/長方形 1">
          <a:extLst>
            <a:ext uri="{FF2B5EF4-FFF2-40B4-BE49-F238E27FC236}">
              <a16:creationId xmlns:a16="http://schemas.microsoft.com/office/drawing/2014/main" id="{D512443F-3FFB-453B-941F-4DAB5B1A47D1}"/>
            </a:ext>
          </a:extLst>
        </xdr:cNvPr>
        <xdr:cNvSpPr/>
      </xdr:nvSpPr>
      <xdr:spPr>
        <a:xfrm>
          <a:off x="7362825" y="685800"/>
          <a:ext cx="1543050" cy="771525"/>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年末調整等のための給与所得控除後の給与等の金額の表　より</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W340"/>
  <sheetViews>
    <sheetView showGridLines="0" tabSelected="1" zoomScale="98" zoomScaleNormal="98" workbookViewId="0">
      <selection activeCell="F18" sqref="F18:G18"/>
    </sheetView>
  </sheetViews>
  <sheetFormatPr defaultRowHeight="30" customHeight="1"/>
  <cols>
    <col min="1" max="1" width="6.625" customWidth="1"/>
    <col min="2" max="2" width="2.75" customWidth="1"/>
    <col min="3" max="3" width="12.125" customWidth="1"/>
    <col min="4" max="4" width="2.5" customWidth="1"/>
    <col min="5" max="5" width="1.875" customWidth="1"/>
    <col min="6" max="6" width="7.75" customWidth="1"/>
    <col min="7" max="7" width="6.75" customWidth="1"/>
    <col min="8" max="8" width="4.375" customWidth="1"/>
    <col min="9" max="9" width="9.375" customWidth="1"/>
    <col min="10" max="10" width="5.75" customWidth="1"/>
    <col min="11" max="11" width="8.875" customWidth="1"/>
    <col min="12" max="12" width="5.75" customWidth="1"/>
    <col min="13" max="13" width="1.25" customWidth="1"/>
    <col min="14" max="14" width="1.25" style="27" customWidth="1"/>
    <col min="15" max="18" width="3.125" customWidth="1"/>
    <col min="19" max="19" width="1.75" customWidth="1"/>
    <col min="20" max="22" width="3.375" customWidth="1"/>
    <col min="23" max="23" width="3.625" customWidth="1"/>
    <col min="24" max="24" width="3.75" customWidth="1"/>
    <col min="25" max="27" width="3.375" customWidth="1"/>
    <col min="28" max="28" width="3.625" customWidth="1"/>
    <col min="29" max="29" width="3.75" customWidth="1"/>
    <col min="30" max="32" width="3.375" customWidth="1"/>
    <col min="33" max="33" width="3.625" customWidth="1"/>
    <col min="34" max="34" width="3.75" customWidth="1"/>
    <col min="35" max="39" width="3.125" customWidth="1"/>
    <col min="40" max="40" width="2.375" customWidth="1"/>
  </cols>
  <sheetData>
    <row r="1" spans="1:49" ht="24" customHeight="1">
      <c r="A1" s="306" t="s">
        <v>163</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C1" s="167"/>
      <c r="AD1" s="167"/>
      <c r="AE1" s="167"/>
      <c r="AF1" s="167"/>
      <c r="AG1" s="167"/>
      <c r="AH1" s="326">
        <f ca="1">TODAY()</f>
        <v>46114</v>
      </c>
      <c r="AI1" s="326"/>
      <c r="AJ1" s="326"/>
      <c r="AK1" s="326"/>
      <c r="AL1" s="326"/>
      <c r="AM1" s="326"/>
    </row>
    <row r="2" spans="1:49" ht="9" customHeight="1">
      <c r="A2" s="173" t="s">
        <v>21</v>
      </c>
      <c r="B2" s="173"/>
      <c r="C2" s="173"/>
      <c r="D2" s="173"/>
      <c r="E2" s="173"/>
      <c r="F2" s="173"/>
      <c r="G2" s="173"/>
      <c r="H2" s="173"/>
      <c r="I2" s="173"/>
      <c r="J2" s="173"/>
      <c r="K2" s="173"/>
      <c r="L2" s="173"/>
      <c r="M2" s="10"/>
    </row>
    <row r="3" spans="1:49" ht="24" customHeight="1" thickBot="1">
      <c r="A3" s="173"/>
      <c r="B3" s="173"/>
      <c r="C3" s="173"/>
      <c r="D3" s="173"/>
      <c r="E3" s="173"/>
      <c r="F3" s="173"/>
      <c r="G3" s="173"/>
      <c r="H3" s="173"/>
      <c r="I3" s="173"/>
      <c r="J3" s="173"/>
      <c r="K3" s="173"/>
      <c r="L3" s="173"/>
      <c r="M3" s="10"/>
      <c r="O3" s="203" t="s">
        <v>34</v>
      </c>
      <c r="P3" s="203"/>
      <c r="Q3" s="203"/>
      <c r="R3" s="203"/>
      <c r="S3" s="203"/>
      <c r="T3" s="203"/>
      <c r="U3" s="203"/>
      <c r="V3" s="203"/>
      <c r="W3" s="203"/>
      <c r="X3" s="203"/>
      <c r="Y3" s="203"/>
      <c r="Z3" s="203"/>
      <c r="AA3" s="203"/>
      <c r="AB3" s="203"/>
      <c r="AC3" s="203"/>
      <c r="AD3" s="203"/>
      <c r="AE3" s="203"/>
    </row>
    <row r="4" spans="1:49" s="8" customFormat="1" ht="18" customHeight="1" thickBot="1">
      <c r="A4" s="87">
        <v>4</v>
      </c>
      <c r="B4" s="8" t="s">
        <v>10</v>
      </c>
      <c r="H4" s="323" t="s">
        <v>80</v>
      </c>
      <c r="I4" s="323"/>
      <c r="J4" s="323"/>
      <c r="K4" s="87">
        <v>4</v>
      </c>
      <c r="L4" s="8" t="s">
        <v>81</v>
      </c>
      <c r="N4" s="307"/>
      <c r="O4" s="308"/>
      <c r="P4" s="308"/>
      <c r="Q4" s="308"/>
      <c r="R4" s="308"/>
      <c r="S4" s="309"/>
      <c r="T4" s="313" t="s">
        <v>33</v>
      </c>
      <c r="U4" s="314"/>
      <c r="V4" s="314"/>
      <c r="W4" s="314"/>
      <c r="X4" s="315"/>
      <c r="Y4" s="313" t="s">
        <v>31</v>
      </c>
      <c r="Z4" s="314"/>
      <c r="AA4" s="314"/>
      <c r="AB4" s="314"/>
      <c r="AC4" s="315"/>
      <c r="AD4" s="313" t="s">
        <v>32</v>
      </c>
      <c r="AE4" s="314"/>
      <c r="AF4" s="314"/>
      <c r="AG4" s="314"/>
      <c r="AH4" s="315"/>
      <c r="AI4" s="313" t="s">
        <v>169</v>
      </c>
      <c r="AJ4" s="314"/>
      <c r="AK4" s="314"/>
      <c r="AL4" s="314"/>
      <c r="AM4" s="315"/>
    </row>
    <row r="5" spans="1:49" s="8" customFormat="1" ht="6" customHeight="1">
      <c r="A5" s="69"/>
      <c r="H5" s="68"/>
      <c r="I5" s="68"/>
      <c r="J5" s="68"/>
      <c r="K5" s="69"/>
      <c r="N5" s="310"/>
      <c r="O5" s="311"/>
      <c r="P5" s="311"/>
      <c r="Q5" s="311"/>
      <c r="R5" s="311"/>
      <c r="S5" s="312"/>
      <c r="T5" s="316"/>
      <c r="U5" s="317"/>
      <c r="V5" s="317"/>
      <c r="W5" s="317"/>
      <c r="X5" s="318"/>
      <c r="Y5" s="316"/>
      <c r="Z5" s="317"/>
      <c r="AA5" s="317"/>
      <c r="AB5" s="317"/>
      <c r="AC5" s="318"/>
      <c r="AD5" s="316"/>
      <c r="AE5" s="317"/>
      <c r="AF5" s="317"/>
      <c r="AG5" s="317"/>
      <c r="AH5" s="318"/>
      <c r="AI5" s="316"/>
      <c r="AJ5" s="317"/>
      <c r="AK5" s="317"/>
      <c r="AL5" s="317"/>
      <c r="AM5" s="318"/>
    </row>
    <row r="6" spans="1:49" s="7" customFormat="1" ht="17.25" customHeight="1">
      <c r="A6" s="288" t="s">
        <v>6</v>
      </c>
      <c r="B6" s="299"/>
      <c r="C6" s="289"/>
      <c r="D6" s="292" t="s">
        <v>122</v>
      </c>
      <c r="E6" s="293"/>
      <c r="F6" s="288" t="s">
        <v>0</v>
      </c>
      <c r="G6" s="289"/>
      <c r="H6" s="247" t="s">
        <v>37</v>
      </c>
      <c r="I6" s="288" t="s">
        <v>2</v>
      </c>
      <c r="J6" s="289"/>
      <c r="K6" s="279" t="s">
        <v>38</v>
      </c>
      <c r="L6" s="280"/>
      <c r="M6" s="11"/>
      <c r="N6" s="72"/>
      <c r="O6" s="204" t="s">
        <v>22</v>
      </c>
      <c r="P6" s="204"/>
      <c r="Q6" s="204"/>
      <c r="R6" s="204"/>
      <c r="S6" s="205"/>
      <c r="T6" s="338" t="s">
        <v>138</v>
      </c>
      <c r="U6" s="339"/>
      <c r="V6" s="339"/>
      <c r="W6" s="339"/>
      <c r="X6" s="339"/>
      <c r="Y6" s="339"/>
      <c r="Z6" s="339"/>
      <c r="AA6" s="339"/>
      <c r="AB6" s="339"/>
      <c r="AC6" s="339"/>
      <c r="AD6" s="339"/>
      <c r="AE6" s="339"/>
      <c r="AF6" s="339"/>
      <c r="AG6" s="339"/>
      <c r="AH6" s="339"/>
      <c r="AI6" s="339"/>
      <c r="AJ6" s="339"/>
      <c r="AK6" s="339"/>
      <c r="AL6" s="339"/>
      <c r="AM6" s="340"/>
      <c r="AO6" s="327" t="s">
        <v>154</v>
      </c>
      <c r="AP6" s="327"/>
      <c r="AQ6" s="327"/>
      <c r="AR6" s="327" t="s">
        <v>155</v>
      </c>
      <c r="AS6" s="327"/>
      <c r="AT6" s="327" t="s">
        <v>156</v>
      </c>
      <c r="AU6" s="327"/>
      <c r="AV6" s="327" t="s">
        <v>158</v>
      </c>
      <c r="AW6" s="327"/>
    </row>
    <row r="7" spans="1:49" s="7" customFormat="1" ht="17.25" customHeight="1">
      <c r="A7" s="296" t="s">
        <v>164</v>
      </c>
      <c r="B7" s="297"/>
      <c r="C7" s="298"/>
      <c r="D7" s="294"/>
      <c r="E7" s="295"/>
      <c r="F7" s="324" t="s">
        <v>1</v>
      </c>
      <c r="G7" s="325"/>
      <c r="H7" s="248"/>
      <c r="I7" s="290" t="s">
        <v>3</v>
      </c>
      <c r="J7" s="291"/>
      <c r="K7" s="281"/>
      <c r="L7" s="282"/>
      <c r="M7" s="11"/>
      <c r="N7" s="73"/>
      <c r="O7" s="206"/>
      <c r="P7" s="206"/>
      <c r="Q7" s="206"/>
      <c r="R7" s="206"/>
      <c r="S7" s="207"/>
      <c r="T7" s="341"/>
      <c r="U7" s="342"/>
      <c r="V7" s="342"/>
      <c r="W7" s="342"/>
      <c r="X7" s="342"/>
      <c r="Y7" s="342"/>
      <c r="Z7" s="342"/>
      <c r="AA7" s="342"/>
      <c r="AB7" s="342"/>
      <c r="AC7" s="342"/>
      <c r="AD7" s="342"/>
      <c r="AE7" s="342"/>
      <c r="AF7" s="342"/>
      <c r="AG7" s="342"/>
      <c r="AH7" s="342"/>
      <c r="AI7" s="342"/>
      <c r="AJ7" s="342"/>
      <c r="AK7" s="342"/>
      <c r="AL7" s="342"/>
      <c r="AM7" s="343"/>
      <c r="AO7" s="328" t="s">
        <v>157</v>
      </c>
      <c r="AP7" s="328" t="s">
        <v>24</v>
      </c>
      <c r="AQ7" s="328" t="s">
        <v>26</v>
      </c>
      <c r="AR7" s="328" t="s">
        <v>157</v>
      </c>
      <c r="AS7" s="328" t="s">
        <v>24</v>
      </c>
      <c r="AT7" s="328" t="s">
        <v>157</v>
      </c>
      <c r="AU7" s="328" t="s">
        <v>24</v>
      </c>
      <c r="AV7" s="328" t="s">
        <v>157</v>
      </c>
      <c r="AW7" s="328" t="s">
        <v>24</v>
      </c>
    </row>
    <row r="8" spans="1:49" s="7" customFormat="1" ht="17.25" customHeight="1">
      <c r="A8" s="245" t="s">
        <v>7</v>
      </c>
      <c r="B8" s="231"/>
      <c r="C8" s="232"/>
      <c r="D8" s="251"/>
      <c r="E8" s="232"/>
      <c r="F8" s="219"/>
      <c r="G8" s="220"/>
      <c r="H8" s="249"/>
      <c r="I8" s="219"/>
      <c r="J8" s="220"/>
      <c r="K8" s="239"/>
      <c r="L8" s="240"/>
      <c r="M8" s="67"/>
      <c r="N8" s="74"/>
      <c r="O8" s="206"/>
      <c r="P8" s="206"/>
      <c r="Q8" s="206"/>
      <c r="R8" s="206"/>
      <c r="S8" s="207"/>
      <c r="T8" s="230">
        <f>税額計算シート!D5</f>
        <v>7.17E-2</v>
      </c>
      <c r="U8" s="230"/>
      <c r="V8" s="230"/>
      <c r="W8" s="230"/>
      <c r="X8" s="230"/>
      <c r="Y8" s="230">
        <f>税額計算シート!H5</f>
        <v>2.5700000000000001E-2</v>
      </c>
      <c r="Z8" s="230"/>
      <c r="AA8" s="230"/>
      <c r="AB8" s="230"/>
      <c r="AC8" s="230"/>
      <c r="AD8" s="230">
        <f>税額計算シート!J5</f>
        <v>2.12E-2</v>
      </c>
      <c r="AE8" s="230"/>
      <c r="AF8" s="230"/>
      <c r="AG8" s="230"/>
      <c r="AH8" s="345"/>
      <c r="AI8" s="344">
        <f>税額計算シート!L5</f>
        <v>2.3999999999999998E-3</v>
      </c>
      <c r="AJ8" s="344"/>
      <c r="AK8" s="344"/>
      <c r="AL8" s="344"/>
      <c r="AM8" s="344"/>
      <c r="AO8" s="328"/>
      <c r="AP8" s="328"/>
      <c r="AQ8" s="328"/>
      <c r="AR8" s="328"/>
      <c r="AS8" s="328"/>
      <c r="AT8" s="328"/>
      <c r="AU8" s="328"/>
      <c r="AV8" s="328"/>
      <c r="AW8" s="328"/>
    </row>
    <row r="9" spans="1:49" s="7" customFormat="1" ht="17.25" customHeight="1">
      <c r="A9" s="246"/>
      <c r="B9" s="233"/>
      <c r="C9" s="234"/>
      <c r="D9" s="252"/>
      <c r="E9" s="234"/>
      <c r="F9" s="214">
        <f>給与所得計算シート!F2-税額計算シート!AL10</f>
        <v>0</v>
      </c>
      <c r="G9" s="215"/>
      <c r="H9" s="250"/>
      <c r="I9" s="214">
        <f>年金所得計算シート!H2</f>
        <v>0</v>
      </c>
      <c r="J9" s="215"/>
      <c r="K9" s="241"/>
      <c r="L9" s="242"/>
      <c r="M9" s="67"/>
      <c r="N9" s="75"/>
      <c r="O9" s="182" t="s">
        <v>23</v>
      </c>
      <c r="P9" s="183"/>
      <c r="Q9" s="183"/>
      <c r="R9" s="183"/>
      <c r="S9" s="184"/>
      <c r="T9" s="185">
        <f>税額計算シート!D17</f>
        <v>0</v>
      </c>
      <c r="U9" s="186"/>
      <c r="V9" s="186"/>
      <c r="W9" s="186"/>
      <c r="X9" s="86" t="s">
        <v>9</v>
      </c>
      <c r="Y9" s="185">
        <f>税額計算シート!F17</f>
        <v>0</v>
      </c>
      <c r="Z9" s="186"/>
      <c r="AA9" s="186"/>
      <c r="AB9" s="186"/>
      <c r="AC9" s="86" t="s">
        <v>9</v>
      </c>
      <c r="AD9" s="185">
        <f>税額計算シート!H17</f>
        <v>0</v>
      </c>
      <c r="AE9" s="186"/>
      <c r="AF9" s="186"/>
      <c r="AG9" s="186"/>
      <c r="AH9" s="121" t="s">
        <v>9</v>
      </c>
      <c r="AI9" s="331">
        <f>税額計算シート!K17</f>
        <v>0</v>
      </c>
      <c r="AJ9" s="332"/>
      <c r="AK9" s="332"/>
      <c r="AL9" s="332"/>
      <c r="AM9" s="129" t="s">
        <v>159</v>
      </c>
      <c r="AO9" s="127">
        <v>7.17E-2</v>
      </c>
      <c r="AP9" s="128">
        <v>26000</v>
      </c>
      <c r="AQ9" s="128">
        <v>26500</v>
      </c>
      <c r="AR9" s="127">
        <v>2.5700000000000001E-2</v>
      </c>
      <c r="AS9" s="128">
        <v>16000</v>
      </c>
      <c r="AT9" s="127">
        <v>2.12E-2</v>
      </c>
      <c r="AU9" s="128">
        <v>15800</v>
      </c>
      <c r="AV9" s="127">
        <v>2.3999999999999998E-3</v>
      </c>
      <c r="AW9" s="128">
        <v>1600</v>
      </c>
    </row>
    <row r="10" spans="1:49" s="7" customFormat="1" ht="17.25" customHeight="1">
      <c r="A10" s="245" t="s">
        <v>8</v>
      </c>
      <c r="B10" s="235" t="str">
        <f>IF(B11="","",リスト!D2)</f>
        <v/>
      </c>
      <c r="C10" s="236"/>
      <c r="D10" s="251"/>
      <c r="E10" s="232"/>
      <c r="F10" s="219"/>
      <c r="G10" s="220"/>
      <c r="H10" s="249"/>
      <c r="I10" s="219"/>
      <c r="J10" s="220"/>
      <c r="K10" s="239"/>
      <c r="L10" s="240"/>
      <c r="M10" s="67">
        <v>1</v>
      </c>
      <c r="N10" s="76"/>
      <c r="O10" s="187" t="s">
        <v>165</v>
      </c>
      <c r="P10" s="187"/>
      <c r="Q10" s="187"/>
      <c r="R10" s="187"/>
      <c r="S10" s="188"/>
      <c r="T10" s="335" t="s">
        <v>29</v>
      </c>
      <c r="U10" s="336"/>
      <c r="V10" s="336"/>
      <c r="W10" s="336"/>
      <c r="X10" s="336"/>
      <c r="Y10" s="336"/>
      <c r="Z10" s="336"/>
      <c r="AA10" s="336"/>
      <c r="AB10" s="336"/>
      <c r="AC10" s="336"/>
      <c r="AD10" s="336"/>
      <c r="AE10" s="336"/>
      <c r="AF10" s="336"/>
      <c r="AG10" s="336"/>
      <c r="AH10" s="336"/>
      <c r="AI10" s="336"/>
      <c r="AJ10" s="336"/>
      <c r="AK10" s="336"/>
      <c r="AL10" s="336"/>
      <c r="AM10" s="337"/>
      <c r="AW10" s="166" t="s">
        <v>167</v>
      </c>
    </row>
    <row r="11" spans="1:49" s="7" customFormat="1" ht="17.25" customHeight="1">
      <c r="A11" s="246"/>
      <c r="B11" s="233"/>
      <c r="C11" s="234"/>
      <c r="D11" s="252"/>
      <c r="E11" s="234"/>
      <c r="F11" s="214">
        <f>給与所得計算シート!F10-税額計算シート!AL11</f>
        <v>0</v>
      </c>
      <c r="G11" s="215"/>
      <c r="H11" s="250"/>
      <c r="I11" s="214">
        <f>年金所得計算シート!H9</f>
        <v>0</v>
      </c>
      <c r="J11" s="215"/>
      <c r="K11" s="241"/>
      <c r="L11" s="242"/>
      <c r="M11" s="67"/>
      <c r="N11" s="77"/>
      <c r="O11" s="189"/>
      <c r="P11" s="189"/>
      <c r="Q11" s="189"/>
      <c r="R11" s="189"/>
      <c r="S11" s="190"/>
      <c r="T11" s="195">
        <f>税額計算シート!F5</f>
        <v>26000</v>
      </c>
      <c r="U11" s="196"/>
      <c r="V11" s="196"/>
      <c r="W11" s="196"/>
      <c r="X11" s="80" t="s">
        <v>9</v>
      </c>
      <c r="Y11" s="195">
        <f>税額計算シート!H6</f>
        <v>16000</v>
      </c>
      <c r="Z11" s="196"/>
      <c r="AA11" s="196"/>
      <c r="AB11" s="196"/>
      <c r="AC11" s="80" t="s">
        <v>9</v>
      </c>
      <c r="AD11" s="195">
        <f>税額計算シート!J6</f>
        <v>15800</v>
      </c>
      <c r="AE11" s="196"/>
      <c r="AF11" s="196"/>
      <c r="AG11" s="196"/>
      <c r="AH11" s="122" t="s">
        <v>9</v>
      </c>
      <c r="AI11" s="329">
        <f>税額計算シート!L6</f>
        <v>1600</v>
      </c>
      <c r="AJ11" s="330"/>
      <c r="AK11" s="330"/>
      <c r="AL11" s="330"/>
      <c r="AM11" s="80" t="s">
        <v>159</v>
      </c>
      <c r="AW11" s="166" t="s">
        <v>168</v>
      </c>
    </row>
    <row r="12" spans="1:49" s="7" customFormat="1" ht="17.25" customHeight="1">
      <c r="A12" s="245" t="s">
        <v>8</v>
      </c>
      <c r="B12" s="235" t="str">
        <f>IF(B13="","",リスト!D3)</f>
        <v/>
      </c>
      <c r="C12" s="236"/>
      <c r="D12" s="251"/>
      <c r="E12" s="232"/>
      <c r="F12" s="219"/>
      <c r="G12" s="220"/>
      <c r="H12" s="249"/>
      <c r="I12" s="219"/>
      <c r="J12" s="220"/>
      <c r="K12" s="239"/>
      <c r="L12" s="240"/>
      <c r="M12" s="67"/>
      <c r="N12" s="78"/>
      <c r="O12" s="191" t="s">
        <v>8</v>
      </c>
      <c r="P12" s="192"/>
      <c r="Q12" s="192"/>
      <c r="R12" s="193">
        <f>COUNTIF(税額計算シート!E10:E16,税額計算シート!F5)</f>
        <v>0</v>
      </c>
      <c r="S12" s="194"/>
      <c r="T12" s="199">
        <f>T11*R12</f>
        <v>0</v>
      </c>
      <c r="U12" s="200"/>
      <c r="V12" s="200"/>
      <c r="W12" s="200"/>
      <c r="X12" s="197" t="s">
        <v>9</v>
      </c>
      <c r="Y12" s="199">
        <f>Y11*R12</f>
        <v>0</v>
      </c>
      <c r="Z12" s="200"/>
      <c r="AA12" s="200"/>
      <c r="AB12" s="200"/>
      <c r="AC12" s="197" t="s">
        <v>9</v>
      </c>
      <c r="AD12" s="199">
        <f>AD11*R13</f>
        <v>0</v>
      </c>
      <c r="AE12" s="200"/>
      <c r="AF12" s="200"/>
      <c r="AG12" s="200"/>
      <c r="AH12" s="346" t="s">
        <v>9</v>
      </c>
      <c r="AI12" s="199">
        <f>AI11*R12</f>
        <v>0</v>
      </c>
      <c r="AJ12" s="200"/>
      <c r="AK12" s="200"/>
      <c r="AL12" s="200"/>
      <c r="AM12" s="197" t="s">
        <v>9</v>
      </c>
      <c r="AW12" s="166"/>
    </row>
    <row r="13" spans="1:49" s="7" customFormat="1" ht="17.25" customHeight="1">
      <c r="A13" s="246"/>
      <c r="B13" s="233"/>
      <c r="C13" s="234"/>
      <c r="D13" s="252"/>
      <c r="E13" s="234"/>
      <c r="F13" s="214">
        <f>給与所得計算シート!F18-税額計算シート!AL12</f>
        <v>0</v>
      </c>
      <c r="G13" s="215"/>
      <c r="H13" s="250"/>
      <c r="I13" s="214">
        <f>年金所得計算シート!H16</f>
        <v>0</v>
      </c>
      <c r="J13" s="215"/>
      <c r="K13" s="241"/>
      <c r="L13" s="242"/>
      <c r="M13" s="67"/>
      <c r="N13" s="77"/>
      <c r="O13" s="212" t="s">
        <v>35</v>
      </c>
      <c r="P13" s="213"/>
      <c r="Q13" s="213"/>
      <c r="R13" s="227">
        <f>COUNTIF(税額計算シート!I10:I16,税額計算シート!J6)</f>
        <v>0</v>
      </c>
      <c r="S13" s="228"/>
      <c r="T13" s="201"/>
      <c r="U13" s="202"/>
      <c r="V13" s="202"/>
      <c r="W13" s="202"/>
      <c r="X13" s="198"/>
      <c r="Y13" s="201"/>
      <c r="Z13" s="202"/>
      <c r="AA13" s="202"/>
      <c r="AB13" s="202"/>
      <c r="AC13" s="198"/>
      <c r="AD13" s="201"/>
      <c r="AE13" s="202"/>
      <c r="AF13" s="202"/>
      <c r="AG13" s="202"/>
      <c r="AH13" s="347"/>
      <c r="AI13" s="201"/>
      <c r="AJ13" s="202"/>
      <c r="AK13" s="202"/>
      <c r="AL13" s="202"/>
      <c r="AM13" s="198"/>
      <c r="AO13" s="130"/>
    </row>
    <row r="14" spans="1:49" s="7" customFormat="1" ht="17.25" customHeight="1">
      <c r="A14" s="245" t="s">
        <v>8</v>
      </c>
      <c r="B14" s="235" t="str">
        <f>IF(B15="","",リスト!D4)</f>
        <v/>
      </c>
      <c r="C14" s="236"/>
      <c r="D14" s="251"/>
      <c r="E14" s="232"/>
      <c r="F14" s="219"/>
      <c r="G14" s="220"/>
      <c r="H14" s="249"/>
      <c r="I14" s="219"/>
      <c r="J14" s="220"/>
      <c r="K14" s="239"/>
      <c r="L14" s="240"/>
      <c r="M14" s="67"/>
      <c r="N14" s="78"/>
      <c r="O14" s="208" t="s">
        <v>25</v>
      </c>
      <c r="P14" s="209"/>
      <c r="Q14" s="210">
        <f>IF(税額計算シート!AI17&lt;2,税額計算シート!C21,税額計算シート!C22)</f>
        <v>0</v>
      </c>
      <c r="R14" s="210"/>
      <c r="S14" s="211"/>
      <c r="T14" s="216" t="e">
        <f>VLOOKUP($Q$14,リスト!$K$2:$N$5,2,FALSE)*R12</f>
        <v>#N/A</v>
      </c>
      <c r="U14" s="217"/>
      <c r="V14" s="217"/>
      <c r="W14" s="217"/>
      <c r="X14" s="70" t="s">
        <v>9</v>
      </c>
      <c r="Y14" s="216" t="e">
        <f>VLOOKUP($Q$14,リスト!$K$2:$N$5,3,FALSE)*R12</f>
        <v>#N/A</v>
      </c>
      <c r="Z14" s="217"/>
      <c r="AA14" s="217"/>
      <c r="AB14" s="217"/>
      <c r="AC14" s="70" t="s">
        <v>9</v>
      </c>
      <c r="AD14" s="216">
        <f>IF(R13=0,0,VLOOKUP($Q$14,リスト!$K$2:$N$5,4,FALSE))*R13</f>
        <v>0</v>
      </c>
      <c r="AE14" s="217"/>
      <c r="AF14" s="217"/>
      <c r="AG14" s="217"/>
      <c r="AH14" s="123" t="s">
        <v>9</v>
      </c>
      <c r="AI14" s="216" t="e">
        <f>VLOOKUP($Q$14,リスト!$K$2:$O$5,5,FALSE)*R12</f>
        <v>#N/A</v>
      </c>
      <c r="AJ14" s="217"/>
      <c r="AK14" s="217"/>
      <c r="AL14" s="217"/>
      <c r="AM14" s="70" t="s">
        <v>9</v>
      </c>
    </row>
    <row r="15" spans="1:49" s="7" customFormat="1" ht="17.25" customHeight="1">
      <c r="A15" s="246"/>
      <c r="B15" s="233"/>
      <c r="C15" s="234"/>
      <c r="D15" s="252"/>
      <c r="E15" s="234"/>
      <c r="F15" s="214">
        <f>給与所得計算シート!F26-税額計算シート!AL13</f>
        <v>0</v>
      </c>
      <c r="G15" s="215"/>
      <c r="H15" s="250"/>
      <c r="I15" s="214">
        <f>年金所得計算シート!H23</f>
        <v>0</v>
      </c>
      <c r="J15" s="215"/>
      <c r="K15" s="241"/>
      <c r="L15" s="242"/>
      <c r="M15" s="67"/>
      <c r="N15" s="79"/>
      <c r="O15" s="182" t="s">
        <v>23</v>
      </c>
      <c r="P15" s="183"/>
      <c r="Q15" s="183"/>
      <c r="R15" s="183"/>
      <c r="S15" s="184"/>
      <c r="T15" s="221" t="e">
        <f>SUM(T12:W14)</f>
        <v>#N/A</v>
      </c>
      <c r="U15" s="222"/>
      <c r="V15" s="222"/>
      <c r="W15" s="222"/>
      <c r="X15" s="86" t="s">
        <v>9</v>
      </c>
      <c r="Y15" s="221" t="e">
        <f>SUM(Y12:AB14)</f>
        <v>#N/A</v>
      </c>
      <c r="Z15" s="222"/>
      <c r="AA15" s="222"/>
      <c r="AB15" s="222"/>
      <c r="AC15" s="86" t="s">
        <v>9</v>
      </c>
      <c r="AD15" s="221">
        <f>SUM(AD12:AG14)</f>
        <v>0</v>
      </c>
      <c r="AE15" s="222"/>
      <c r="AF15" s="222"/>
      <c r="AG15" s="222"/>
      <c r="AH15" s="121" t="s">
        <v>9</v>
      </c>
      <c r="AI15" s="221" t="e">
        <f>SUM(AI12:AL14)</f>
        <v>#N/A</v>
      </c>
      <c r="AJ15" s="222"/>
      <c r="AK15" s="222"/>
      <c r="AL15" s="222"/>
      <c r="AM15" s="86" t="s">
        <v>9</v>
      </c>
    </row>
    <row r="16" spans="1:49" s="7" customFormat="1" ht="17.25" customHeight="1">
      <c r="A16" s="245" t="s">
        <v>8</v>
      </c>
      <c r="B16" s="235" t="str">
        <f>IF(B17="","",リスト!D5)</f>
        <v/>
      </c>
      <c r="C16" s="236"/>
      <c r="D16" s="251"/>
      <c r="E16" s="232"/>
      <c r="F16" s="243"/>
      <c r="G16" s="244"/>
      <c r="H16" s="249"/>
      <c r="I16" s="219"/>
      <c r="J16" s="220"/>
      <c r="K16" s="239"/>
      <c r="L16" s="240"/>
      <c r="M16" s="67"/>
      <c r="N16" s="81"/>
      <c r="O16" s="355" t="s">
        <v>26</v>
      </c>
      <c r="P16" s="355"/>
      <c r="Q16" s="355"/>
      <c r="R16" s="355"/>
      <c r="S16" s="356"/>
      <c r="T16" s="350" t="s">
        <v>30</v>
      </c>
      <c r="U16" s="351"/>
      <c r="V16" s="351"/>
      <c r="W16" s="351"/>
      <c r="X16" s="351"/>
      <c r="Y16" s="351"/>
      <c r="Z16" s="351"/>
      <c r="AA16" s="351"/>
      <c r="AB16" s="351"/>
      <c r="AC16" s="351"/>
      <c r="AD16" s="351"/>
      <c r="AE16" s="351"/>
      <c r="AF16" s="351"/>
      <c r="AG16" s="351"/>
      <c r="AH16" s="351"/>
      <c r="AI16" s="351"/>
      <c r="AJ16" s="351"/>
      <c r="AK16" s="351"/>
      <c r="AL16" s="351"/>
      <c r="AM16" s="352"/>
    </row>
    <row r="17" spans="1:39" s="7" customFormat="1" ht="17.25" customHeight="1">
      <c r="A17" s="246"/>
      <c r="B17" s="233"/>
      <c r="C17" s="234"/>
      <c r="D17" s="252"/>
      <c r="E17" s="234"/>
      <c r="F17" s="214">
        <f>給与所得計算シート!F34-税額計算シート!AL14</f>
        <v>0</v>
      </c>
      <c r="G17" s="215"/>
      <c r="H17" s="250"/>
      <c r="I17" s="214">
        <f>年金所得計算シート!H30</f>
        <v>0</v>
      </c>
      <c r="J17" s="215"/>
      <c r="K17" s="241"/>
      <c r="L17" s="242"/>
      <c r="M17" s="67"/>
      <c r="N17" s="82"/>
      <c r="O17" s="357"/>
      <c r="P17" s="357"/>
      <c r="Q17" s="357"/>
      <c r="R17" s="357"/>
      <c r="S17" s="358"/>
      <c r="T17" s="223">
        <f>税額計算シート!F6</f>
        <v>26500</v>
      </c>
      <c r="U17" s="224"/>
      <c r="V17" s="224"/>
      <c r="W17" s="224"/>
      <c r="X17" s="84" t="s">
        <v>9</v>
      </c>
      <c r="Y17" s="225"/>
      <c r="Z17" s="226"/>
      <c r="AA17" s="226"/>
      <c r="AB17" s="226"/>
      <c r="AC17" s="65"/>
      <c r="AD17" s="226"/>
      <c r="AE17" s="226"/>
      <c r="AF17" s="226"/>
      <c r="AG17" s="226"/>
      <c r="AH17" s="65"/>
      <c r="AI17" s="299"/>
      <c r="AJ17" s="299"/>
      <c r="AK17" s="299"/>
      <c r="AL17" s="299"/>
      <c r="AM17" s="289"/>
    </row>
    <row r="18" spans="1:39" s="7" customFormat="1" ht="17.25" customHeight="1">
      <c r="A18" s="245" t="s">
        <v>8</v>
      </c>
      <c r="B18" s="235" t="str">
        <f>IF(B19="","",リスト!D6)</f>
        <v/>
      </c>
      <c r="C18" s="236"/>
      <c r="D18" s="251"/>
      <c r="E18" s="232"/>
      <c r="F18" s="243"/>
      <c r="G18" s="244"/>
      <c r="H18" s="249"/>
      <c r="I18" s="219"/>
      <c r="J18" s="220"/>
      <c r="K18" s="239"/>
      <c r="L18" s="240"/>
      <c r="M18" s="67"/>
      <c r="N18" s="83"/>
      <c r="O18" s="359" t="s">
        <v>25</v>
      </c>
      <c r="P18" s="360"/>
      <c r="Q18" s="210">
        <f>Q14</f>
        <v>0</v>
      </c>
      <c r="R18" s="210"/>
      <c r="S18" s="211"/>
      <c r="T18" s="216" t="e">
        <f>VLOOKUP($Q$14,リスト!$K$6:$N$9,2,FALSE)</f>
        <v>#N/A</v>
      </c>
      <c r="U18" s="217"/>
      <c r="V18" s="217"/>
      <c r="W18" s="217"/>
      <c r="X18" s="70" t="s">
        <v>9</v>
      </c>
      <c r="Y18" s="319"/>
      <c r="Z18" s="218"/>
      <c r="AA18" s="218"/>
      <c r="AB18" s="218"/>
      <c r="AC18" s="17"/>
      <c r="AD18" s="218"/>
      <c r="AE18" s="218"/>
      <c r="AF18" s="218"/>
      <c r="AG18" s="218"/>
      <c r="AH18" s="17"/>
      <c r="AI18" s="353"/>
      <c r="AJ18" s="353"/>
      <c r="AK18" s="353"/>
      <c r="AL18" s="353"/>
      <c r="AM18" s="354"/>
    </row>
    <row r="19" spans="1:39" s="7" customFormat="1" ht="17.25" customHeight="1">
      <c r="A19" s="246"/>
      <c r="B19" s="233"/>
      <c r="C19" s="234"/>
      <c r="D19" s="252"/>
      <c r="E19" s="234"/>
      <c r="F19" s="214">
        <f>給与所得計算シート!F42-税額計算シート!AL15</f>
        <v>0</v>
      </c>
      <c r="G19" s="215"/>
      <c r="H19" s="250"/>
      <c r="I19" s="214">
        <f>年金所得計算シート!H37</f>
        <v>0</v>
      </c>
      <c r="J19" s="215"/>
      <c r="K19" s="241"/>
      <c r="L19" s="242"/>
      <c r="M19" s="67"/>
      <c r="N19" s="108"/>
      <c r="O19" s="182" t="s">
        <v>23</v>
      </c>
      <c r="P19" s="183"/>
      <c r="Q19" s="183"/>
      <c r="R19" s="183"/>
      <c r="S19" s="184"/>
      <c r="T19" s="185">
        <f>IF(R12=0,0,SUM(T17:W18))</f>
        <v>0</v>
      </c>
      <c r="U19" s="186"/>
      <c r="V19" s="186"/>
      <c r="W19" s="186"/>
      <c r="X19" s="86" t="s">
        <v>9</v>
      </c>
      <c r="Y19" s="324"/>
      <c r="Z19" s="361"/>
      <c r="AA19" s="361"/>
      <c r="AB19" s="361"/>
      <c r="AC19" s="109"/>
      <c r="AD19" s="218"/>
      <c r="AE19" s="218"/>
      <c r="AF19" s="218"/>
      <c r="AG19" s="218"/>
      <c r="AH19" s="17"/>
      <c r="AI19" s="353"/>
      <c r="AJ19" s="353"/>
      <c r="AK19" s="353"/>
      <c r="AL19" s="353"/>
      <c r="AM19" s="354"/>
    </row>
    <row r="20" spans="1:39" s="7" customFormat="1" ht="17.25" customHeight="1" thickBot="1">
      <c r="A20" s="245" t="s">
        <v>8</v>
      </c>
      <c r="B20" s="235" t="str">
        <f>IF(B21="","",リスト!D7)</f>
        <v/>
      </c>
      <c r="C20" s="236"/>
      <c r="D20" s="251"/>
      <c r="E20" s="232"/>
      <c r="F20" s="243"/>
      <c r="G20" s="244"/>
      <c r="H20" s="249"/>
      <c r="I20" s="219"/>
      <c r="J20" s="220"/>
      <c r="K20" s="239"/>
      <c r="L20" s="240"/>
      <c r="M20" s="67"/>
      <c r="N20" s="300" t="s">
        <v>121</v>
      </c>
      <c r="O20" s="301"/>
      <c r="P20" s="301"/>
      <c r="Q20" s="301"/>
      <c r="R20" s="301"/>
      <c r="S20" s="302"/>
      <c r="T20" s="333" t="e">
        <f>ROUNDUP(VLOOKUP($Q$14,リスト!$K$12:$M$15,2,FALSE)*税額計算シート!Q17,-2)</f>
        <v>#N/A</v>
      </c>
      <c r="U20" s="334"/>
      <c r="V20" s="334"/>
      <c r="W20" s="334"/>
      <c r="X20" s="111" t="s">
        <v>123</v>
      </c>
      <c r="Y20" s="333" t="e">
        <f>ROUNDUP(VLOOKUP($Q$14,リスト!$K$12:$M$15,3,FALSE)*税額計算シート!Q17,-2)</f>
        <v>#N/A</v>
      </c>
      <c r="Z20" s="334"/>
      <c r="AA20" s="334"/>
      <c r="AB20" s="334"/>
      <c r="AC20" s="112" t="s">
        <v>123</v>
      </c>
      <c r="AD20" s="320"/>
      <c r="AE20" s="321"/>
      <c r="AF20" s="321"/>
      <c r="AG20" s="321"/>
      <c r="AH20" s="322"/>
      <c r="AI20" s="333" t="e">
        <f>ROUNDUP(VLOOKUP($Q$14,リスト!$K$12:$O$15,5,FALSE)*税額計算シート!Q17,0)</f>
        <v>#N/A</v>
      </c>
      <c r="AJ20" s="334"/>
      <c r="AK20" s="334"/>
      <c r="AL20" s="334"/>
      <c r="AM20" s="66" t="s">
        <v>9</v>
      </c>
    </row>
    <row r="21" spans="1:39" s="7" customFormat="1" ht="17.25" customHeight="1" thickBot="1">
      <c r="A21" s="246"/>
      <c r="B21" s="233"/>
      <c r="C21" s="234"/>
      <c r="D21" s="252"/>
      <c r="E21" s="234"/>
      <c r="F21" s="214">
        <f>給与所得計算シート!F50-税額計算シート!AL16</f>
        <v>0</v>
      </c>
      <c r="G21" s="215"/>
      <c r="H21" s="250"/>
      <c r="I21" s="214">
        <f>年金所得計算シート!H44</f>
        <v>0</v>
      </c>
      <c r="J21" s="215"/>
      <c r="K21" s="241"/>
      <c r="L21" s="242"/>
      <c r="M21" s="67"/>
      <c r="N21" s="303" t="s">
        <v>27</v>
      </c>
      <c r="O21" s="304"/>
      <c r="P21" s="304"/>
      <c r="Q21" s="304"/>
      <c r="R21" s="304"/>
      <c r="S21" s="305"/>
      <c r="T21" s="237" t="e">
        <f>IF(ROUNDDOWN(SUM(T9,T15,T19,T20),-2)&gt;T22,T22,ROUNDDOWN(SUM(T9,T15,T19,T20),-2))</f>
        <v>#N/A</v>
      </c>
      <c r="U21" s="238"/>
      <c r="V21" s="238"/>
      <c r="W21" s="238"/>
      <c r="X21" s="85" t="s">
        <v>9</v>
      </c>
      <c r="Y21" s="237" t="e">
        <f>IF(ROUNDDOWN(SUM(Y9,Y15,Y20),-2)&gt;Y22,Y22,ROUNDDOWN(SUM(Y9,Y15,Y20),-2))</f>
        <v>#N/A</v>
      </c>
      <c r="Z21" s="238"/>
      <c r="AA21" s="238"/>
      <c r="AB21" s="238"/>
      <c r="AC21" s="85" t="s">
        <v>9</v>
      </c>
      <c r="AD21" s="237">
        <f>IF(ROUNDDOWN(SUM(AD9,AD15),-2)&gt;AD22,AD22,ROUNDDOWN(SUM(AD9,AD15),-2))</f>
        <v>0</v>
      </c>
      <c r="AE21" s="238"/>
      <c r="AF21" s="238"/>
      <c r="AG21" s="238"/>
      <c r="AH21" s="124" t="s">
        <v>9</v>
      </c>
      <c r="AI21" s="237" t="e">
        <f>IF(ROUNDDOWN(SUM(AI9,AI15,AI20),-2)&gt;AI22,AI22,ROUNDDOWN(SUM(AI9,AI15,AI20),-2))</f>
        <v>#N/A</v>
      </c>
      <c r="AJ21" s="238"/>
      <c r="AK21" s="238"/>
      <c r="AL21" s="238"/>
      <c r="AM21" s="134" t="s">
        <v>9</v>
      </c>
    </row>
    <row r="22" spans="1:39" s="7" customFormat="1" ht="17.25" customHeight="1">
      <c r="A22" s="286"/>
      <c r="B22" s="286"/>
      <c r="C22" s="286"/>
      <c r="D22" s="286"/>
      <c r="E22" s="286"/>
      <c r="F22" s="286"/>
      <c r="G22" s="286"/>
      <c r="H22" s="286"/>
      <c r="I22" s="286"/>
      <c r="J22" s="286"/>
      <c r="K22" s="286"/>
      <c r="L22" s="286"/>
      <c r="M22" s="67"/>
      <c r="N22" s="283" t="s">
        <v>28</v>
      </c>
      <c r="O22" s="284"/>
      <c r="P22" s="284"/>
      <c r="Q22" s="284"/>
      <c r="R22" s="284"/>
      <c r="S22" s="285"/>
      <c r="T22" s="349">
        <v>670000</v>
      </c>
      <c r="U22" s="349"/>
      <c r="V22" s="349"/>
      <c r="W22" s="349"/>
      <c r="X22" s="71" t="s">
        <v>9</v>
      </c>
      <c r="Y22" s="348">
        <v>260000</v>
      </c>
      <c r="Z22" s="349"/>
      <c r="AA22" s="349"/>
      <c r="AB22" s="349"/>
      <c r="AC22" s="71" t="s">
        <v>9</v>
      </c>
      <c r="AD22" s="348">
        <v>170000</v>
      </c>
      <c r="AE22" s="349"/>
      <c r="AF22" s="349"/>
      <c r="AG22" s="349"/>
      <c r="AH22" s="125" t="s">
        <v>9</v>
      </c>
      <c r="AI22" s="348">
        <v>30000</v>
      </c>
      <c r="AJ22" s="349"/>
      <c r="AK22" s="349"/>
      <c r="AL22" s="349"/>
      <c r="AM22" s="71" t="s">
        <v>9</v>
      </c>
    </row>
    <row r="23" spans="1:39" s="7" customFormat="1" ht="17.25" customHeight="1">
      <c r="A23" s="287"/>
      <c r="B23" s="287"/>
      <c r="C23" s="287"/>
      <c r="D23" s="287"/>
      <c r="E23" s="287"/>
      <c r="F23" s="287"/>
      <c r="G23" s="287"/>
      <c r="H23" s="287"/>
      <c r="I23" s="287"/>
      <c r="J23" s="287"/>
      <c r="K23" s="287"/>
      <c r="L23" s="287"/>
      <c r="M23" s="150"/>
      <c r="N23" s="151" t="s">
        <v>166</v>
      </c>
      <c r="O23" s="169"/>
      <c r="P23" s="147"/>
      <c r="Q23" s="147"/>
      <c r="R23" s="147"/>
      <c r="S23" s="147"/>
      <c r="T23" s="148"/>
      <c r="U23" s="148"/>
      <c r="V23" s="148"/>
      <c r="W23" s="148"/>
      <c r="X23" s="149"/>
      <c r="Y23" s="148"/>
      <c r="Z23" s="148"/>
      <c r="AA23" s="148"/>
      <c r="AB23" s="148"/>
      <c r="AC23" s="149"/>
      <c r="AD23" s="148"/>
      <c r="AE23" s="148"/>
      <c r="AF23" s="148"/>
      <c r="AG23" s="148"/>
      <c r="AH23" s="149"/>
      <c r="AI23" s="140"/>
      <c r="AJ23" s="140"/>
      <c r="AK23" s="140"/>
      <c r="AL23" s="140"/>
      <c r="AM23" s="17"/>
    </row>
    <row r="24" spans="1:39" s="9" customFormat="1" ht="6" customHeight="1" thickBot="1">
      <c r="A24" s="287"/>
      <c r="B24" s="287"/>
      <c r="C24" s="287"/>
      <c r="D24" s="287"/>
      <c r="E24" s="287"/>
      <c r="F24" s="287"/>
      <c r="G24" s="287"/>
      <c r="H24" s="287"/>
      <c r="I24" s="287"/>
      <c r="J24" s="287"/>
      <c r="K24" s="287"/>
      <c r="L24" s="287"/>
      <c r="M24" s="12"/>
      <c r="N24" s="28"/>
      <c r="O24" s="12"/>
      <c r="P24" s="12"/>
      <c r="Q24" s="12"/>
      <c r="R24" s="12"/>
    </row>
    <row r="25" spans="1:39" s="9" customFormat="1" ht="18" customHeight="1" thickBot="1">
      <c r="A25" s="52" t="s">
        <v>82</v>
      </c>
      <c r="B25" s="53"/>
      <c r="C25" s="53"/>
      <c r="D25" s="53"/>
      <c r="E25" s="53"/>
      <c r="F25" s="53"/>
      <c r="G25" s="12"/>
      <c r="H25" s="12"/>
      <c r="I25" s="12"/>
      <c r="J25" s="12"/>
      <c r="K25" s="12"/>
      <c r="L25" s="12"/>
      <c r="M25" s="12"/>
      <c r="N25" s="28"/>
      <c r="P25" s="269" t="s">
        <v>20</v>
      </c>
      <c r="Q25" s="269"/>
      <c r="R25" s="269"/>
      <c r="S25" s="269"/>
      <c r="T25" s="269"/>
      <c r="U25" s="269"/>
      <c r="V25" s="269"/>
      <c r="W25" s="269"/>
      <c r="X25" s="269"/>
      <c r="Y25" s="174" t="s">
        <v>86</v>
      </c>
      <c r="Z25" s="174"/>
      <c r="AA25" s="174"/>
      <c r="AB25" s="174"/>
      <c r="AC25" s="268"/>
      <c r="AD25" s="265" t="e">
        <f>SUM(T21:AM21)</f>
        <v>#N/A</v>
      </c>
      <c r="AE25" s="266"/>
      <c r="AF25" s="266"/>
      <c r="AG25" s="267"/>
      <c r="AH25" s="15" t="s">
        <v>9</v>
      </c>
    </row>
    <row r="26" spans="1:39" s="3" customFormat="1" ht="18" customHeight="1" thickTop="1" thickBot="1">
      <c r="A26" s="269" t="s">
        <v>83</v>
      </c>
      <c r="B26" s="269"/>
      <c r="C26" s="269"/>
      <c r="D26" s="107"/>
      <c r="E26" s="107"/>
      <c r="F26" s="105">
        <f>IF(A4="","",VLOOKUP(A4,リスト!A2:B13,2,FALSE))</f>
        <v>12</v>
      </c>
      <c r="G26" s="274" t="s">
        <v>84</v>
      </c>
      <c r="H26" s="275"/>
      <c r="I26" s="276"/>
      <c r="J26" s="272" t="e">
        <f>IF(F26="","",INT(ROUNDDOWN(T21*F26/12,-2)+ROUNDDOWN(Y21*F26/12,-2)+ROUNDDOWN(AD21*F26/12,-2)+AI21))</f>
        <v>#N/A</v>
      </c>
      <c r="K26" s="273"/>
      <c r="L26" s="6" t="s">
        <v>85</v>
      </c>
      <c r="M26" s="6"/>
      <c r="N26" s="29"/>
      <c r="O26" s="174"/>
      <c r="P26" s="174"/>
      <c r="Q26" s="174"/>
      <c r="R26" s="174"/>
      <c r="S26" s="174"/>
      <c r="T26" s="175"/>
      <c r="U26" s="176"/>
      <c r="V26" s="176"/>
      <c r="W26" s="176"/>
      <c r="X26" s="15"/>
      <c r="Y26" s="177" t="s">
        <v>36</v>
      </c>
      <c r="Z26" s="177"/>
      <c r="AA26" s="177"/>
      <c r="AB26" s="177"/>
      <c r="AC26" s="178"/>
      <c r="AD26" s="179" t="e">
        <f>AD25/12</f>
        <v>#N/A</v>
      </c>
      <c r="AE26" s="180"/>
      <c r="AF26" s="180"/>
      <c r="AG26" s="181"/>
      <c r="AH26" s="15" t="s">
        <v>9</v>
      </c>
    </row>
    <row r="27" spans="1:39" s="3" customFormat="1" ht="1.9" customHeight="1" thickTop="1">
      <c r="A27" s="54"/>
      <c r="B27" s="54"/>
      <c r="C27" s="54"/>
      <c r="D27" s="107"/>
      <c r="E27" s="107"/>
      <c r="F27" s="57"/>
      <c r="G27" s="55"/>
      <c r="H27" s="55"/>
      <c r="I27" s="55"/>
      <c r="J27" s="58"/>
      <c r="K27" s="58"/>
      <c r="L27" s="6"/>
      <c r="M27" s="6"/>
      <c r="N27" s="29"/>
      <c r="O27" s="13"/>
      <c r="P27" s="13"/>
      <c r="Q27" s="13"/>
      <c r="R27" s="13"/>
      <c r="S27" s="13"/>
      <c r="T27" s="59"/>
      <c r="U27" s="60"/>
      <c r="V27" s="60"/>
      <c r="W27" s="60"/>
      <c r="X27" s="15"/>
      <c r="Y27" s="14"/>
      <c r="Z27" s="14"/>
      <c r="AA27" s="14"/>
      <c r="AB27" s="14"/>
      <c r="AC27" s="14"/>
      <c r="AD27" s="58"/>
      <c r="AE27" s="58"/>
      <c r="AF27" s="58"/>
      <c r="AG27" s="58"/>
      <c r="AH27" s="15"/>
      <c r="AI27" s="165"/>
      <c r="AJ27" s="165"/>
      <c r="AK27" s="165"/>
      <c r="AL27" s="165"/>
      <c r="AM27" s="165"/>
    </row>
    <row r="28" spans="1:39" s="3" customFormat="1" ht="18" customHeight="1">
      <c r="A28" s="270" t="s">
        <v>87</v>
      </c>
      <c r="B28" s="270"/>
      <c r="C28" s="270"/>
      <c r="D28" s="270"/>
      <c r="E28" s="270"/>
      <c r="F28" s="270"/>
      <c r="G28" s="270"/>
      <c r="H28" s="270"/>
      <c r="I28" s="270"/>
      <c r="J28" s="270"/>
      <c r="K28" s="270"/>
      <c r="L28" s="270"/>
      <c r="M28" s="270"/>
      <c r="N28" s="270"/>
      <c r="O28" s="270"/>
      <c r="P28" s="270"/>
      <c r="Q28" s="270"/>
      <c r="R28" s="270"/>
      <c r="S28" s="144"/>
      <c r="Y28" s="152" t="s">
        <v>109</v>
      </c>
      <c r="Z28" s="153"/>
      <c r="AA28" s="153"/>
      <c r="AB28" s="153"/>
      <c r="AC28" s="153"/>
      <c r="AD28" s="153"/>
      <c r="AE28" s="63"/>
      <c r="AF28" s="63"/>
      <c r="AG28" s="63"/>
      <c r="AH28" s="63"/>
      <c r="AI28" s="62"/>
      <c r="AJ28" s="62"/>
      <c r="AK28" s="62"/>
      <c r="AL28" s="62"/>
      <c r="AM28" s="64"/>
    </row>
    <row r="29" spans="1:39" s="6" customFormat="1" ht="25.5" hidden="1" customHeight="1">
      <c r="A29" s="271"/>
      <c r="B29" s="271"/>
      <c r="C29" s="145"/>
      <c r="D29" s="145"/>
      <c r="E29" s="145"/>
      <c r="F29" s="271"/>
      <c r="G29" s="271"/>
      <c r="H29" s="271"/>
      <c r="I29" s="17"/>
      <c r="J29" s="229"/>
      <c r="K29" s="229"/>
      <c r="N29" s="30"/>
      <c r="O29" s="178"/>
      <c r="P29" s="178"/>
      <c r="Q29" s="178"/>
      <c r="R29" s="178"/>
      <c r="S29" s="177"/>
      <c r="Y29" s="277"/>
      <c r="Z29" s="278"/>
      <c r="AA29" s="278"/>
      <c r="AB29" s="141"/>
      <c r="AC29" s="141"/>
      <c r="AD29" s="141"/>
      <c r="AE29" s="141"/>
      <c r="AF29" s="141"/>
      <c r="AG29" s="141"/>
      <c r="AH29" s="141"/>
      <c r="AI29" s="146"/>
      <c r="AJ29" s="146"/>
      <c r="AK29" s="146"/>
      <c r="AL29" s="146"/>
      <c r="AM29" s="61"/>
    </row>
    <row r="30" spans="1:39" s="3" customFormat="1" ht="18" customHeight="1">
      <c r="A30" s="257" t="s">
        <v>97</v>
      </c>
      <c r="B30" s="258"/>
      <c r="C30" s="257" t="s">
        <v>98</v>
      </c>
      <c r="D30" s="258"/>
      <c r="E30" s="257" t="s">
        <v>99</v>
      </c>
      <c r="F30" s="259"/>
      <c r="G30" s="259"/>
      <c r="H30" s="258"/>
      <c r="I30" s="142" t="s">
        <v>97</v>
      </c>
      <c r="J30" s="257" t="s">
        <v>98</v>
      </c>
      <c r="K30" s="258"/>
      <c r="L30" s="257" t="s">
        <v>99</v>
      </c>
      <c r="M30" s="259"/>
      <c r="N30" s="259"/>
      <c r="O30" s="259"/>
      <c r="P30" s="259"/>
      <c r="Q30" s="259"/>
      <c r="R30" s="258"/>
      <c r="Y30" s="160" t="s">
        <v>110</v>
      </c>
      <c r="Z30" s="157"/>
      <c r="AA30" s="157"/>
      <c r="AB30" s="157"/>
      <c r="AC30" s="162"/>
      <c r="AD30" s="162"/>
      <c r="AE30" s="163" t="s">
        <v>111</v>
      </c>
      <c r="AF30" s="163"/>
      <c r="AG30" s="163"/>
      <c r="AH30" s="163"/>
      <c r="AI30" s="163"/>
      <c r="AJ30" s="163"/>
      <c r="AK30" s="163"/>
      <c r="AL30" s="163"/>
      <c r="AM30" s="164"/>
    </row>
    <row r="31" spans="1:39" s="16" customFormat="1" ht="18" customHeight="1">
      <c r="A31" s="255" t="s">
        <v>88</v>
      </c>
      <c r="B31" s="256"/>
      <c r="C31" s="253" t="str">
        <f>IFERROR(HLOOKUP(税額計算シート!$R$7,税額計算シート!$T$8:$AC$18,3,FALSE),"")</f>
        <v/>
      </c>
      <c r="D31" s="254"/>
      <c r="E31" s="372">
        <f>税額計算シート!AD10</f>
        <v>46234</v>
      </c>
      <c r="F31" s="373"/>
      <c r="G31" s="373"/>
      <c r="H31" s="374"/>
      <c r="I31" s="143" t="s">
        <v>101</v>
      </c>
      <c r="J31" s="263" t="str">
        <f>IFERROR(HLOOKUP(税額計算シート!$R$7,税額計算シート!$T$8:$AC$18,8,FALSE),"")</f>
        <v/>
      </c>
      <c r="K31" s="264"/>
      <c r="L31" s="260">
        <f>税額計算シート!AD15</f>
        <v>46381</v>
      </c>
      <c r="M31" s="261"/>
      <c r="N31" s="261"/>
      <c r="O31" s="261"/>
      <c r="P31" s="261"/>
      <c r="Q31" s="261"/>
      <c r="R31" s="262"/>
      <c r="Y31" s="161" t="s">
        <v>112</v>
      </c>
      <c r="Z31" s="158"/>
      <c r="AA31" s="158"/>
      <c r="AB31" s="158"/>
      <c r="AC31" s="158"/>
      <c r="AD31" s="158"/>
      <c r="AE31" s="158"/>
      <c r="AF31" s="158"/>
      <c r="AG31" s="158"/>
      <c r="AH31" s="158"/>
      <c r="AI31" s="158"/>
      <c r="AJ31" s="158"/>
      <c r="AK31" s="158"/>
      <c r="AL31" s="158"/>
      <c r="AM31" s="159"/>
    </row>
    <row r="32" spans="1:39" s="3" customFormat="1" ht="18" customHeight="1">
      <c r="A32" s="255" t="s">
        <v>89</v>
      </c>
      <c r="B32" s="256"/>
      <c r="C32" s="253" t="str">
        <f>IFERROR(HLOOKUP(税額計算シート!$R$7,税額計算シート!$T$8:$AC$18,4,FALSE),"")</f>
        <v/>
      </c>
      <c r="D32" s="254"/>
      <c r="E32" s="372">
        <f>税額計算シート!AD11</f>
        <v>46265</v>
      </c>
      <c r="F32" s="373"/>
      <c r="G32" s="373"/>
      <c r="H32" s="374"/>
      <c r="I32" s="143" t="s">
        <v>100</v>
      </c>
      <c r="J32" s="263" t="str">
        <f>IFERROR(HLOOKUP(税額計算シート!$R$7,税額計算シート!$T$8:$AC$18,9,FALSE),"")</f>
        <v/>
      </c>
      <c r="K32" s="264"/>
      <c r="L32" s="260">
        <f>税額計算シート!AD16</f>
        <v>46419</v>
      </c>
      <c r="M32" s="261"/>
      <c r="N32" s="261"/>
      <c r="O32" s="261"/>
      <c r="P32" s="261"/>
      <c r="Q32" s="261"/>
      <c r="R32" s="262"/>
      <c r="Y32" s="154" t="s">
        <v>108</v>
      </c>
      <c r="Z32" s="155"/>
      <c r="AA32" s="155"/>
      <c r="AB32" s="155"/>
      <c r="AC32" s="155"/>
      <c r="AD32" s="155"/>
      <c r="AE32" s="155"/>
      <c r="AF32" s="155"/>
      <c r="AG32" s="155"/>
      <c r="AH32" s="155"/>
      <c r="AI32" s="155"/>
      <c r="AJ32" s="155"/>
      <c r="AK32" s="155"/>
      <c r="AL32" s="155"/>
      <c r="AM32" s="156"/>
    </row>
    <row r="33" spans="1:39" s="3" customFormat="1" ht="18" customHeight="1">
      <c r="A33" s="255" t="s">
        <v>90</v>
      </c>
      <c r="B33" s="256"/>
      <c r="C33" s="253" t="str">
        <f>IFERROR(HLOOKUP(税額計算シート!$R$7,税額計算シート!$T$8:$AC$18,5,FALSE),"")</f>
        <v/>
      </c>
      <c r="D33" s="254"/>
      <c r="E33" s="372">
        <f>税額計算シート!AD12</f>
        <v>46295</v>
      </c>
      <c r="F33" s="373"/>
      <c r="G33" s="373"/>
      <c r="H33" s="374"/>
      <c r="I33" s="143" t="s">
        <v>102</v>
      </c>
      <c r="J33" s="263" t="str">
        <f>IFERROR(HLOOKUP(税額計算シート!$R$7,税額計算シート!$T$8:$AC$18,10,FALSE),"")</f>
        <v/>
      </c>
      <c r="K33" s="264"/>
      <c r="L33" s="260">
        <f>税額計算シート!AD17</f>
        <v>46447</v>
      </c>
      <c r="M33" s="261"/>
      <c r="N33" s="261"/>
      <c r="O33" s="261"/>
      <c r="P33" s="261"/>
      <c r="Q33" s="261"/>
      <c r="R33" s="262"/>
      <c r="Y33" s="362" t="s">
        <v>139</v>
      </c>
      <c r="Z33" s="363"/>
      <c r="AA33" s="363"/>
      <c r="AB33" s="363"/>
      <c r="AC33" s="363"/>
      <c r="AD33" s="363"/>
      <c r="AE33" s="363"/>
      <c r="AF33" s="363"/>
      <c r="AG33" s="363"/>
      <c r="AH33" s="363"/>
      <c r="AI33" s="363"/>
      <c r="AJ33" s="363"/>
      <c r="AK33" s="363"/>
      <c r="AL33" s="363"/>
      <c r="AM33" s="364"/>
    </row>
    <row r="34" spans="1:39" s="3" customFormat="1" ht="18" customHeight="1">
      <c r="A34" s="255" t="s">
        <v>91</v>
      </c>
      <c r="B34" s="256"/>
      <c r="C34" s="253" t="str">
        <f>IFERROR(HLOOKUP(税額計算シート!$R$7,税額計算シート!$T$8:$AC$18,6,FALSE),"")</f>
        <v/>
      </c>
      <c r="D34" s="254"/>
      <c r="E34" s="372">
        <f>税額計算シート!AD13</f>
        <v>46328</v>
      </c>
      <c r="F34" s="373"/>
      <c r="G34" s="373"/>
      <c r="H34" s="374"/>
      <c r="I34" s="143" t="s">
        <v>96</v>
      </c>
      <c r="J34" s="263">
        <f>IFERROR(HLOOKUP(税額計算シート!$R$7,税額計算シート!$T$8:$AC$18,11,FALSE),"")</f>
        <v>0</v>
      </c>
      <c r="K34" s="264"/>
      <c r="L34" s="260" t="str">
        <f>IFERROR(VLOOKUP(K4,リスト!A26:C27,3,FALSE),"")</f>
        <v/>
      </c>
      <c r="M34" s="261"/>
      <c r="N34" s="261"/>
      <c r="O34" s="261"/>
      <c r="P34" s="261"/>
      <c r="Q34" s="261"/>
      <c r="R34" s="262"/>
      <c r="Y34" s="365"/>
      <c r="Z34" s="366"/>
      <c r="AA34" s="366"/>
      <c r="AB34" s="366"/>
      <c r="AC34" s="366"/>
      <c r="AD34" s="366"/>
      <c r="AE34" s="366"/>
      <c r="AF34" s="366"/>
      <c r="AG34" s="366"/>
      <c r="AH34" s="366"/>
      <c r="AI34" s="366"/>
      <c r="AJ34" s="366"/>
      <c r="AK34" s="366"/>
      <c r="AL34" s="366"/>
      <c r="AM34" s="367"/>
    </row>
    <row r="35" spans="1:39" s="3" customFormat="1" ht="18" customHeight="1">
      <c r="A35" s="255" t="s">
        <v>92</v>
      </c>
      <c r="B35" s="256"/>
      <c r="C35" s="253" t="str">
        <f>IFERROR(HLOOKUP(税額計算シート!$R$7,税額計算シート!$T$8:$AC$18,7,FALSE),"")</f>
        <v/>
      </c>
      <c r="D35" s="254"/>
      <c r="E35" s="372">
        <f>税額計算シート!AD14</f>
        <v>46356</v>
      </c>
      <c r="F35" s="373"/>
      <c r="G35" s="373"/>
      <c r="H35" s="374"/>
      <c r="I35" s="143" t="s">
        <v>103</v>
      </c>
      <c r="J35" s="263">
        <f>SUM(C31:C35,J31:K34)</f>
        <v>0</v>
      </c>
      <c r="K35" s="264"/>
      <c r="L35" s="375"/>
      <c r="M35" s="376"/>
      <c r="N35" s="376"/>
      <c r="O35" s="376"/>
      <c r="P35" s="376"/>
      <c r="Q35" s="376"/>
      <c r="R35" s="376"/>
      <c r="Y35" s="365"/>
      <c r="Z35" s="366"/>
      <c r="AA35" s="366"/>
      <c r="AB35" s="366"/>
      <c r="AC35" s="366"/>
      <c r="AD35" s="366"/>
      <c r="AE35" s="366"/>
      <c r="AF35" s="366"/>
      <c r="AG35" s="366"/>
      <c r="AH35" s="366"/>
      <c r="AI35" s="366"/>
      <c r="AJ35" s="366"/>
      <c r="AK35" s="366"/>
      <c r="AL35" s="366"/>
      <c r="AM35" s="367"/>
    </row>
    <row r="36" spans="1:39" s="3" customFormat="1" ht="27.6" customHeight="1">
      <c r="A36" s="371" t="s">
        <v>144</v>
      </c>
      <c r="B36" s="371"/>
      <c r="C36" s="371"/>
      <c r="D36" s="371"/>
      <c r="E36" s="371"/>
      <c r="F36" s="371"/>
      <c r="G36" s="371"/>
      <c r="H36" s="371"/>
      <c r="I36" s="371"/>
      <c r="J36" s="371"/>
      <c r="K36" s="371"/>
      <c r="L36" s="371"/>
      <c r="M36" s="371"/>
      <c r="N36" s="371"/>
      <c r="O36" s="371"/>
      <c r="P36" s="371"/>
      <c r="Q36" s="371"/>
      <c r="R36" s="371"/>
      <c r="Y36" s="365"/>
      <c r="Z36" s="366"/>
      <c r="AA36" s="366"/>
      <c r="AB36" s="366"/>
      <c r="AC36" s="366"/>
      <c r="AD36" s="366"/>
      <c r="AE36" s="366"/>
      <c r="AF36" s="366"/>
      <c r="AG36" s="366"/>
      <c r="AH36" s="366"/>
      <c r="AI36" s="366"/>
      <c r="AJ36" s="366"/>
      <c r="AK36" s="366"/>
      <c r="AL36" s="366"/>
      <c r="AM36" s="367"/>
    </row>
    <row r="37" spans="1:39" s="3" customFormat="1" ht="18" customHeight="1">
      <c r="A37" s="371"/>
      <c r="B37" s="371"/>
      <c r="C37" s="371"/>
      <c r="D37" s="371"/>
      <c r="E37" s="371"/>
      <c r="F37" s="371"/>
      <c r="G37" s="371"/>
      <c r="H37" s="371"/>
      <c r="I37" s="371"/>
      <c r="J37" s="371"/>
      <c r="K37" s="371"/>
      <c r="L37" s="371"/>
      <c r="M37" s="371"/>
      <c r="N37" s="371"/>
      <c r="O37" s="371"/>
      <c r="P37" s="371"/>
      <c r="Q37" s="371"/>
      <c r="R37" s="371"/>
      <c r="Y37" s="365"/>
      <c r="Z37" s="366"/>
      <c r="AA37" s="366"/>
      <c r="AB37" s="366"/>
      <c r="AC37" s="366"/>
      <c r="AD37" s="366"/>
      <c r="AE37" s="366"/>
      <c r="AF37" s="366"/>
      <c r="AG37" s="366"/>
      <c r="AH37" s="366"/>
      <c r="AI37" s="366"/>
      <c r="AJ37" s="366"/>
      <c r="AK37" s="366"/>
      <c r="AL37" s="366"/>
      <c r="AM37" s="367"/>
    </row>
    <row r="38" spans="1:39" s="3" customFormat="1" ht="24" customHeight="1">
      <c r="A38" s="371"/>
      <c r="B38" s="371"/>
      <c r="C38" s="371"/>
      <c r="D38" s="371"/>
      <c r="E38" s="371"/>
      <c r="F38" s="371"/>
      <c r="G38" s="371"/>
      <c r="H38" s="371"/>
      <c r="I38" s="371"/>
      <c r="J38" s="371"/>
      <c r="K38" s="371"/>
      <c r="L38" s="371"/>
      <c r="M38" s="371"/>
      <c r="N38" s="371"/>
      <c r="O38" s="371"/>
      <c r="P38" s="371"/>
      <c r="Q38" s="371"/>
      <c r="R38" s="371"/>
      <c r="Y38" s="365"/>
      <c r="Z38" s="366"/>
      <c r="AA38" s="366"/>
      <c r="AB38" s="366"/>
      <c r="AC38" s="366"/>
      <c r="AD38" s="366"/>
      <c r="AE38" s="366"/>
      <c r="AF38" s="366"/>
      <c r="AG38" s="366"/>
      <c r="AH38" s="366"/>
      <c r="AI38" s="366"/>
      <c r="AJ38" s="366"/>
      <c r="AK38" s="366"/>
      <c r="AL38" s="366"/>
      <c r="AM38" s="367"/>
    </row>
    <row r="39" spans="1:39" s="3" customFormat="1" ht="30" customHeight="1">
      <c r="A39" s="371"/>
      <c r="B39" s="371"/>
      <c r="C39" s="371"/>
      <c r="D39" s="371"/>
      <c r="E39" s="371"/>
      <c r="F39" s="371"/>
      <c r="G39" s="371"/>
      <c r="H39" s="371"/>
      <c r="I39" s="371"/>
      <c r="J39" s="371"/>
      <c r="K39" s="371"/>
      <c r="L39" s="371"/>
      <c r="M39" s="371"/>
      <c r="N39" s="371"/>
      <c r="O39" s="371"/>
      <c r="P39" s="371"/>
      <c r="Q39" s="371"/>
      <c r="R39" s="371"/>
      <c r="Y39" s="368"/>
      <c r="Z39" s="369"/>
      <c r="AA39" s="369"/>
      <c r="AB39" s="369"/>
      <c r="AC39" s="369"/>
      <c r="AD39" s="369"/>
      <c r="AE39" s="369"/>
      <c r="AF39" s="369"/>
      <c r="AG39" s="369"/>
      <c r="AH39" s="369"/>
      <c r="AI39" s="369"/>
      <c r="AJ39" s="369"/>
      <c r="AK39" s="369"/>
      <c r="AL39" s="369"/>
      <c r="AM39" s="370"/>
    </row>
    <row r="40" spans="1:39" s="3" customFormat="1" ht="30" customHeight="1">
      <c r="G40" s="18"/>
      <c r="H40" s="20"/>
      <c r="I40" s="20"/>
      <c r="N40" s="29"/>
    </row>
    <row r="41" spans="1:39" s="3" customFormat="1" ht="30" customHeight="1">
      <c r="G41" s="18"/>
      <c r="H41" s="19"/>
      <c r="I41" s="19"/>
      <c r="N41" s="29"/>
    </row>
    <row r="42" spans="1:39" s="3" customFormat="1" ht="30" customHeight="1">
      <c r="G42" s="18"/>
      <c r="H42" s="19"/>
      <c r="I42" s="19"/>
      <c r="N42" s="29"/>
    </row>
    <row r="43" spans="1:39" s="3" customFormat="1" ht="30" customHeight="1">
      <c r="G43" s="18"/>
      <c r="H43" s="19"/>
      <c r="I43" s="19"/>
      <c r="N43" s="29"/>
    </row>
    <row r="44" spans="1:39" s="3" customFormat="1" ht="30" customHeight="1">
      <c r="G44" s="18"/>
      <c r="H44" s="19"/>
      <c r="I44" s="19"/>
      <c r="N44" s="29"/>
    </row>
    <row r="45" spans="1:39" s="3" customFormat="1" ht="30" customHeight="1">
      <c r="G45" s="18"/>
      <c r="H45" s="19"/>
      <c r="I45" s="19"/>
      <c r="N45" s="29"/>
    </row>
    <row r="46" spans="1:39" s="3" customFormat="1" ht="30" customHeight="1">
      <c r="G46" s="18"/>
      <c r="H46" s="19"/>
      <c r="I46" s="19"/>
      <c r="N46" s="29"/>
    </row>
    <row r="47" spans="1:39" s="3" customFormat="1" ht="30" customHeight="1">
      <c r="G47" s="18"/>
      <c r="H47" s="19"/>
      <c r="I47" s="19"/>
      <c r="N47" s="29"/>
    </row>
    <row r="48" spans="1:39" s="3" customFormat="1" ht="30" customHeight="1">
      <c r="G48" s="21"/>
      <c r="H48" s="21"/>
      <c r="I48" s="21"/>
      <c r="N48" s="29"/>
    </row>
    <row r="49" spans="7:14" s="3" customFormat="1" ht="30" customHeight="1">
      <c r="G49" s="21"/>
      <c r="H49" s="21"/>
      <c r="I49" s="21"/>
      <c r="N49" s="29"/>
    </row>
    <row r="50" spans="7:14" s="3" customFormat="1" ht="30" customHeight="1">
      <c r="G50" s="21"/>
      <c r="H50" s="21"/>
      <c r="I50" s="21"/>
      <c r="N50" s="29"/>
    </row>
    <row r="51" spans="7:14" s="3" customFormat="1" ht="30" customHeight="1">
      <c r="N51" s="29"/>
    </row>
    <row r="52" spans="7:14" s="3" customFormat="1" ht="30" customHeight="1">
      <c r="N52" s="29"/>
    </row>
    <row r="53" spans="7:14" s="3" customFormat="1" ht="30" customHeight="1">
      <c r="N53" s="29"/>
    </row>
    <row r="54" spans="7:14" s="3" customFormat="1" ht="30" customHeight="1">
      <c r="N54" s="29"/>
    </row>
    <row r="55" spans="7:14" s="3" customFormat="1" ht="30" customHeight="1">
      <c r="N55" s="29"/>
    </row>
    <row r="56" spans="7:14" s="3" customFormat="1" ht="30" customHeight="1">
      <c r="N56" s="29"/>
    </row>
    <row r="57" spans="7:14" s="3" customFormat="1" ht="30" customHeight="1">
      <c r="N57" s="29"/>
    </row>
    <row r="58" spans="7:14" s="3" customFormat="1" ht="30" customHeight="1">
      <c r="N58" s="29"/>
    </row>
    <row r="59" spans="7:14" s="3" customFormat="1" ht="30" customHeight="1">
      <c r="N59" s="29"/>
    </row>
    <row r="60" spans="7:14" s="3" customFormat="1" ht="30" customHeight="1">
      <c r="N60" s="29"/>
    </row>
    <row r="61" spans="7:14" s="3" customFormat="1" ht="30" customHeight="1">
      <c r="N61" s="29"/>
    </row>
    <row r="62" spans="7:14" s="3" customFormat="1" ht="30" customHeight="1">
      <c r="N62" s="29"/>
    </row>
    <row r="63" spans="7:14" s="3" customFormat="1" ht="30" customHeight="1">
      <c r="N63" s="29"/>
    </row>
    <row r="64" spans="7:14" s="3" customFormat="1" ht="30" customHeight="1">
      <c r="N64" s="29"/>
    </row>
    <row r="65" spans="14:14" s="3" customFormat="1" ht="30" customHeight="1">
      <c r="N65" s="29"/>
    </row>
    <row r="66" spans="14:14" s="3" customFormat="1" ht="30" customHeight="1">
      <c r="N66" s="29"/>
    </row>
    <row r="67" spans="14:14" s="3" customFormat="1" ht="30" customHeight="1">
      <c r="N67" s="29"/>
    </row>
    <row r="68" spans="14:14" s="3" customFormat="1" ht="30" customHeight="1">
      <c r="N68" s="29"/>
    </row>
    <row r="69" spans="14:14" s="3" customFormat="1" ht="30" customHeight="1">
      <c r="N69" s="29"/>
    </row>
    <row r="70" spans="14:14" s="3" customFormat="1" ht="30" customHeight="1">
      <c r="N70" s="29"/>
    </row>
    <row r="71" spans="14:14" s="3" customFormat="1" ht="30" customHeight="1">
      <c r="N71" s="29"/>
    </row>
    <row r="72" spans="14:14" s="3" customFormat="1" ht="30" customHeight="1">
      <c r="N72" s="29"/>
    </row>
    <row r="73" spans="14:14" s="3" customFormat="1" ht="30" customHeight="1">
      <c r="N73" s="29"/>
    </row>
    <row r="74" spans="14:14" s="3" customFormat="1" ht="30" customHeight="1">
      <c r="N74" s="29"/>
    </row>
    <row r="75" spans="14:14" s="3" customFormat="1" ht="30" customHeight="1">
      <c r="N75" s="29"/>
    </row>
    <row r="76" spans="14:14" s="3" customFormat="1" ht="30" customHeight="1">
      <c r="N76" s="29"/>
    </row>
    <row r="77" spans="14:14" s="3" customFormat="1" ht="30" customHeight="1">
      <c r="N77" s="29"/>
    </row>
    <row r="78" spans="14:14" s="3" customFormat="1" ht="30" customHeight="1">
      <c r="N78" s="29"/>
    </row>
    <row r="79" spans="14:14" s="3" customFormat="1" ht="30" customHeight="1">
      <c r="N79" s="29"/>
    </row>
    <row r="80" spans="14:14" s="3" customFormat="1" ht="30" customHeight="1">
      <c r="N80" s="29"/>
    </row>
    <row r="81" spans="14:14" s="3" customFormat="1" ht="30" customHeight="1">
      <c r="N81" s="29"/>
    </row>
    <row r="82" spans="14:14" s="3" customFormat="1" ht="30" customHeight="1">
      <c r="N82" s="29"/>
    </row>
    <row r="83" spans="14:14" s="3" customFormat="1" ht="30" customHeight="1">
      <c r="N83" s="29"/>
    </row>
    <row r="84" spans="14:14" s="3" customFormat="1" ht="30" customHeight="1">
      <c r="N84" s="29"/>
    </row>
    <row r="85" spans="14:14" s="3" customFormat="1" ht="30" customHeight="1">
      <c r="N85" s="29"/>
    </row>
    <row r="86" spans="14:14" s="3" customFormat="1" ht="30" customHeight="1">
      <c r="N86" s="29"/>
    </row>
    <row r="87" spans="14:14" s="3" customFormat="1" ht="30" customHeight="1">
      <c r="N87" s="29"/>
    </row>
    <row r="88" spans="14:14" s="3" customFormat="1" ht="30" customHeight="1">
      <c r="N88" s="29"/>
    </row>
    <row r="89" spans="14:14" s="3" customFormat="1" ht="30" customHeight="1">
      <c r="N89" s="29"/>
    </row>
    <row r="90" spans="14:14" s="3" customFormat="1" ht="30" customHeight="1">
      <c r="N90" s="29"/>
    </row>
    <row r="91" spans="14:14" s="3" customFormat="1" ht="30" customHeight="1">
      <c r="N91" s="29"/>
    </row>
    <row r="92" spans="14:14" s="3" customFormat="1" ht="30" customHeight="1">
      <c r="N92" s="29"/>
    </row>
    <row r="93" spans="14:14" s="3" customFormat="1" ht="30" customHeight="1">
      <c r="N93" s="29"/>
    </row>
    <row r="94" spans="14:14" s="3" customFormat="1" ht="30" customHeight="1">
      <c r="N94" s="29"/>
    </row>
    <row r="95" spans="14:14" s="3" customFormat="1" ht="30" customHeight="1">
      <c r="N95" s="29"/>
    </row>
    <row r="96" spans="14:14" s="3" customFormat="1" ht="30" customHeight="1">
      <c r="N96" s="29"/>
    </row>
    <row r="97" spans="14:14" s="3" customFormat="1" ht="30" customHeight="1">
      <c r="N97" s="29"/>
    </row>
    <row r="98" spans="14:14" s="3" customFormat="1" ht="30" customHeight="1">
      <c r="N98" s="29"/>
    </row>
    <row r="99" spans="14:14" s="3" customFormat="1" ht="30" customHeight="1">
      <c r="N99" s="29"/>
    </row>
    <row r="100" spans="14:14" s="3" customFormat="1" ht="30" customHeight="1">
      <c r="N100" s="29"/>
    </row>
    <row r="101" spans="14:14" s="3" customFormat="1" ht="30" customHeight="1">
      <c r="N101" s="29"/>
    </row>
    <row r="102" spans="14:14" s="3" customFormat="1" ht="30" customHeight="1">
      <c r="N102" s="29"/>
    </row>
    <row r="103" spans="14:14" s="3" customFormat="1" ht="30" customHeight="1">
      <c r="N103" s="29"/>
    </row>
    <row r="104" spans="14:14" s="3" customFormat="1" ht="30" customHeight="1">
      <c r="N104" s="29"/>
    </row>
    <row r="105" spans="14:14" s="3" customFormat="1" ht="30" customHeight="1">
      <c r="N105" s="29"/>
    </row>
    <row r="106" spans="14:14" s="3" customFormat="1" ht="30" customHeight="1">
      <c r="N106" s="29"/>
    </row>
    <row r="107" spans="14:14" s="3" customFormat="1" ht="30" customHeight="1">
      <c r="N107" s="29"/>
    </row>
    <row r="108" spans="14:14" s="3" customFormat="1" ht="30" customHeight="1">
      <c r="N108" s="29"/>
    </row>
    <row r="109" spans="14:14" s="3" customFormat="1" ht="30" customHeight="1">
      <c r="N109" s="29"/>
    </row>
    <row r="110" spans="14:14" s="3" customFormat="1" ht="30" customHeight="1">
      <c r="N110" s="29"/>
    </row>
    <row r="111" spans="14:14" s="3" customFormat="1" ht="30" customHeight="1">
      <c r="N111" s="29"/>
    </row>
    <row r="112" spans="14:14" s="3" customFormat="1" ht="30" customHeight="1">
      <c r="N112" s="29"/>
    </row>
    <row r="113" spans="14:14" s="3" customFormat="1" ht="30" customHeight="1">
      <c r="N113" s="29"/>
    </row>
    <row r="114" spans="14:14" s="3" customFormat="1" ht="30" customHeight="1">
      <c r="N114" s="29"/>
    </row>
    <row r="115" spans="14:14" s="3" customFormat="1" ht="30" customHeight="1">
      <c r="N115" s="29"/>
    </row>
    <row r="116" spans="14:14" s="3" customFormat="1" ht="30" customHeight="1">
      <c r="N116" s="29"/>
    </row>
    <row r="117" spans="14:14" s="3" customFormat="1" ht="30" customHeight="1">
      <c r="N117" s="29"/>
    </row>
    <row r="118" spans="14:14" s="3" customFormat="1" ht="30" customHeight="1">
      <c r="N118" s="29"/>
    </row>
    <row r="119" spans="14:14" s="3" customFormat="1" ht="30" customHeight="1">
      <c r="N119" s="29"/>
    </row>
    <row r="120" spans="14:14" s="3" customFormat="1" ht="30" customHeight="1">
      <c r="N120" s="29"/>
    </row>
    <row r="121" spans="14:14" s="3" customFormat="1" ht="30" customHeight="1">
      <c r="N121" s="29"/>
    </row>
    <row r="122" spans="14:14" s="3" customFormat="1" ht="30" customHeight="1">
      <c r="N122" s="29"/>
    </row>
    <row r="123" spans="14:14" s="3" customFormat="1" ht="30" customHeight="1">
      <c r="N123" s="29"/>
    </row>
    <row r="124" spans="14:14" s="3" customFormat="1" ht="30" customHeight="1">
      <c r="N124" s="29"/>
    </row>
    <row r="125" spans="14:14" s="3" customFormat="1" ht="30" customHeight="1">
      <c r="N125" s="29"/>
    </row>
    <row r="126" spans="14:14" s="3" customFormat="1" ht="30" customHeight="1">
      <c r="N126" s="29"/>
    </row>
    <row r="127" spans="14:14" s="3" customFormat="1" ht="30" customHeight="1">
      <c r="N127" s="29"/>
    </row>
    <row r="128" spans="14:14" s="3" customFormat="1" ht="30" customHeight="1">
      <c r="N128" s="29"/>
    </row>
    <row r="129" spans="14:14" s="3" customFormat="1" ht="30" customHeight="1">
      <c r="N129" s="29"/>
    </row>
    <row r="130" spans="14:14" s="3" customFormat="1" ht="30" customHeight="1">
      <c r="N130" s="29"/>
    </row>
    <row r="131" spans="14:14" s="3" customFormat="1" ht="30" customHeight="1">
      <c r="N131" s="29"/>
    </row>
    <row r="132" spans="14:14" s="3" customFormat="1" ht="30" customHeight="1">
      <c r="N132" s="29"/>
    </row>
    <row r="133" spans="14:14" s="3" customFormat="1" ht="30" customHeight="1">
      <c r="N133" s="29"/>
    </row>
    <row r="134" spans="14:14" s="3" customFormat="1" ht="30" customHeight="1">
      <c r="N134" s="29"/>
    </row>
    <row r="135" spans="14:14" s="3" customFormat="1" ht="30" customHeight="1">
      <c r="N135" s="29"/>
    </row>
    <row r="136" spans="14:14" s="3" customFormat="1" ht="30" customHeight="1">
      <c r="N136" s="29"/>
    </row>
    <row r="137" spans="14:14" s="3" customFormat="1" ht="30" customHeight="1">
      <c r="N137" s="29"/>
    </row>
    <row r="138" spans="14:14" s="3" customFormat="1" ht="30" customHeight="1">
      <c r="N138" s="29"/>
    </row>
    <row r="139" spans="14:14" s="3" customFormat="1" ht="30" customHeight="1">
      <c r="N139" s="29"/>
    </row>
    <row r="140" spans="14:14" s="3" customFormat="1" ht="30" customHeight="1">
      <c r="N140" s="29"/>
    </row>
    <row r="141" spans="14:14" s="3" customFormat="1" ht="30" customHeight="1">
      <c r="N141" s="29"/>
    </row>
    <row r="142" spans="14:14" s="3" customFormat="1" ht="30" customHeight="1">
      <c r="N142" s="29"/>
    </row>
    <row r="143" spans="14:14" s="3" customFormat="1" ht="30" customHeight="1">
      <c r="N143" s="29"/>
    </row>
    <row r="144" spans="14:14" s="3" customFormat="1" ht="30" customHeight="1">
      <c r="N144" s="29"/>
    </row>
    <row r="145" spans="14:14" s="3" customFormat="1" ht="30" customHeight="1">
      <c r="N145" s="29"/>
    </row>
    <row r="146" spans="14:14" s="3" customFormat="1" ht="30" customHeight="1">
      <c r="N146" s="29"/>
    </row>
    <row r="147" spans="14:14" s="3" customFormat="1" ht="30" customHeight="1">
      <c r="N147" s="29"/>
    </row>
    <row r="148" spans="14:14" s="3" customFormat="1" ht="30" customHeight="1">
      <c r="N148" s="29"/>
    </row>
    <row r="149" spans="14:14" s="3" customFormat="1" ht="30" customHeight="1">
      <c r="N149" s="29"/>
    </row>
    <row r="150" spans="14:14" s="3" customFormat="1" ht="30" customHeight="1">
      <c r="N150" s="29"/>
    </row>
    <row r="151" spans="14:14" s="3" customFormat="1" ht="30" customHeight="1">
      <c r="N151" s="29"/>
    </row>
    <row r="152" spans="14:14" s="3" customFormat="1" ht="30" customHeight="1">
      <c r="N152" s="29"/>
    </row>
    <row r="153" spans="14:14" s="3" customFormat="1" ht="30" customHeight="1">
      <c r="N153" s="29"/>
    </row>
    <row r="154" spans="14:14" s="3" customFormat="1" ht="30" customHeight="1">
      <c r="N154" s="29"/>
    </row>
    <row r="155" spans="14:14" s="3" customFormat="1" ht="30" customHeight="1">
      <c r="N155" s="29"/>
    </row>
    <row r="156" spans="14:14" s="3" customFormat="1" ht="30" customHeight="1">
      <c r="N156" s="29"/>
    </row>
    <row r="157" spans="14:14" s="3" customFormat="1" ht="30" customHeight="1">
      <c r="N157" s="29"/>
    </row>
    <row r="158" spans="14:14" s="3" customFormat="1" ht="30" customHeight="1">
      <c r="N158" s="29"/>
    </row>
    <row r="159" spans="14:14" s="3" customFormat="1" ht="30" customHeight="1">
      <c r="N159" s="29"/>
    </row>
    <row r="160" spans="14:14" s="3" customFormat="1" ht="30" customHeight="1">
      <c r="N160" s="29"/>
    </row>
    <row r="161" spans="14:14" s="3" customFormat="1" ht="30" customHeight="1">
      <c r="N161" s="29"/>
    </row>
    <row r="162" spans="14:14" s="3" customFormat="1" ht="30" customHeight="1">
      <c r="N162" s="29"/>
    </row>
    <row r="163" spans="14:14" s="3" customFormat="1" ht="30" customHeight="1">
      <c r="N163" s="29"/>
    </row>
    <row r="164" spans="14:14" s="3" customFormat="1" ht="30" customHeight="1">
      <c r="N164" s="29"/>
    </row>
    <row r="165" spans="14:14" s="3" customFormat="1" ht="30" customHeight="1">
      <c r="N165" s="29"/>
    </row>
    <row r="166" spans="14:14" s="3" customFormat="1" ht="30" customHeight="1">
      <c r="N166" s="29"/>
    </row>
    <row r="167" spans="14:14" s="3" customFormat="1" ht="30" customHeight="1">
      <c r="N167" s="29"/>
    </row>
    <row r="168" spans="14:14" s="3" customFormat="1" ht="30" customHeight="1">
      <c r="N168" s="29"/>
    </row>
    <row r="169" spans="14:14" s="3" customFormat="1" ht="30" customHeight="1">
      <c r="N169" s="29"/>
    </row>
    <row r="170" spans="14:14" s="3" customFormat="1" ht="30" customHeight="1">
      <c r="N170" s="29"/>
    </row>
    <row r="171" spans="14:14" s="3" customFormat="1" ht="30" customHeight="1">
      <c r="N171" s="29"/>
    </row>
    <row r="172" spans="14:14" s="3" customFormat="1" ht="30" customHeight="1">
      <c r="N172" s="29"/>
    </row>
    <row r="173" spans="14:14" s="3" customFormat="1" ht="30" customHeight="1">
      <c r="N173" s="29"/>
    </row>
    <row r="174" spans="14:14" s="3" customFormat="1" ht="30" customHeight="1">
      <c r="N174" s="29"/>
    </row>
    <row r="175" spans="14:14" s="3" customFormat="1" ht="30" customHeight="1">
      <c r="N175" s="29"/>
    </row>
    <row r="176" spans="14:14" s="3" customFormat="1" ht="30" customHeight="1">
      <c r="N176" s="29"/>
    </row>
    <row r="177" spans="14:14" s="3" customFormat="1" ht="30" customHeight="1">
      <c r="N177" s="29"/>
    </row>
    <row r="178" spans="14:14" s="3" customFormat="1" ht="30" customHeight="1">
      <c r="N178" s="29"/>
    </row>
    <row r="179" spans="14:14" s="3" customFormat="1" ht="30" customHeight="1">
      <c r="N179" s="29"/>
    </row>
    <row r="180" spans="14:14" s="3" customFormat="1" ht="30" customHeight="1">
      <c r="N180" s="29"/>
    </row>
    <row r="181" spans="14:14" s="3" customFormat="1" ht="30" customHeight="1">
      <c r="N181" s="29"/>
    </row>
    <row r="182" spans="14:14" s="3" customFormat="1" ht="30" customHeight="1">
      <c r="N182" s="29"/>
    </row>
    <row r="183" spans="14:14" s="3" customFormat="1" ht="30" customHeight="1">
      <c r="N183" s="29"/>
    </row>
    <row r="184" spans="14:14" s="3" customFormat="1" ht="30" customHeight="1">
      <c r="N184" s="29"/>
    </row>
    <row r="185" spans="14:14" s="3" customFormat="1" ht="30" customHeight="1">
      <c r="N185" s="29"/>
    </row>
    <row r="186" spans="14:14" s="3" customFormat="1" ht="30" customHeight="1">
      <c r="N186" s="29"/>
    </row>
    <row r="187" spans="14:14" s="3" customFormat="1" ht="30" customHeight="1">
      <c r="N187" s="29"/>
    </row>
    <row r="188" spans="14:14" s="3" customFormat="1" ht="30" customHeight="1">
      <c r="N188" s="29"/>
    </row>
    <row r="189" spans="14:14" s="3" customFormat="1" ht="30" customHeight="1">
      <c r="N189" s="29"/>
    </row>
    <row r="190" spans="14:14" s="3" customFormat="1" ht="30" customHeight="1">
      <c r="N190" s="29"/>
    </row>
    <row r="191" spans="14:14" s="3" customFormat="1" ht="30" customHeight="1">
      <c r="N191" s="29"/>
    </row>
    <row r="192" spans="14:14" s="3" customFormat="1" ht="30" customHeight="1">
      <c r="N192" s="29"/>
    </row>
    <row r="193" spans="14:14" s="3" customFormat="1" ht="30" customHeight="1">
      <c r="N193" s="29"/>
    </row>
    <row r="194" spans="14:14" s="3" customFormat="1" ht="30" customHeight="1">
      <c r="N194" s="29"/>
    </row>
    <row r="195" spans="14:14" s="3" customFormat="1" ht="30" customHeight="1">
      <c r="N195" s="29"/>
    </row>
    <row r="196" spans="14:14" s="3" customFormat="1" ht="30" customHeight="1">
      <c r="N196" s="29"/>
    </row>
    <row r="197" spans="14:14" s="3" customFormat="1" ht="30" customHeight="1">
      <c r="N197" s="29"/>
    </row>
    <row r="198" spans="14:14" s="3" customFormat="1" ht="30" customHeight="1">
      <c r="N198" s="29"/>
    </row>
    <row r="199" spans="14:14" s="3" customFormat="1" ht="30" customHeight="1">
      <c r="N199" s="29"/>
    </row>
    <row r="200" spans="14:14" s="3" customFormat="1" ht="30" customHeight="1">
      <c r="N200" s="29"/>
    </row>
    <row r="201" spans="14:14" s="3" customFormat="1" ht="30" customHeight="1">
      <c r="N201" s="29"/>
    </row>
    <row r="202" spans="14:14" s="3" customFormat="1" ht="30" customHeight="1">
      <c r="N202" s="29"/>
    </row>
    <row r="203" spans="14:14" s="3" customFormat="1" ht="30" customHeight="1">
      <c r="N203" s="29"/>
    </row>
    <row r="204" spans="14:14" s="3" customFormat="1" ht="30" customHeight="1">
      <c r="N204" s="29"/>
    </row>
    <row r="205" spans="14:14" s="3" customFormat="1" ht="30" customHeight="1">
      <c r="N205" s="29"/>
    </row>
    <row r="206" spans="14:14" s="3" customFormat="1" ht="30" customHeight="1">
      <c r="N206" s="29"/>
    </row>
    <row r="207" spans="14:14" s="3" customFormat="1" ht="30" customHeight="1">
      <c r="N207" s="29"/>
    </row>
    <row r="208" spans="14:14" s="3" customFormat="1" ht="30" customHeight="1">
      <c r="N208" s="29"/>
    </row>
    <row r="209" spans="14:14" s="3" customFormat="1" ht="30" customHeight="1">
      <c r="N209" s="29"/>
    </row>
    <row r="210" spans="14:14" s="3" customFormat="1" ht="30" customHeight="1">
      <c r="N210" s="29"/>
    </row>
    <row r="211" spans="14:14" s="3" customFormat="1" ht="30" customHeight="1">
      <c r="N211" s="29"/>
    </row>
    <row r="212" spans="14:14" s="3" customFormat="1" ht="30" customHeight="1">
      <c r="N212" s="29"/>
    </row>
    <row r="213" spans="14:14" s="3" customFormat="1" ht="30" customHeight="1">
      <c r="N213" s="29"/>
    </row>
    <row r="214" spans="14:14" s="3" customFormat="1" ht="30" customHeight="1">
      <c r="N214" s="29"/>
    </row>
    <row r="215" spans="14:14" s="3" customFormat="1" ht="30" customHeight="1">
      <c r="N215" s="29"/>
    </row>
    <row r="216" spans="14:14" s="3" customFormat="1" ht="30" customHeight="1">
      <c r="N216" s="29"/>
    </row>
    <row r="217" spans="14:14" s="3" customFormat="1" ht="30" customHeight="1">
      <c r="N217" s="29"/>
    </row>
    <row r="218" spans="14:14" s="3" customFormat="1" ht="30" customHeight="1">
      <c r="N218" s="29"/>
    </row>
    <row r="219" spans="14:14" s="3" customFormat="1" ht="30" customHeight="1">
      <c r="N219" s="29"/>
    </row>
    <row r="220" spans="14:14" s="3" customFormat="1" ht="30" customHeight="1">
      <c r="N220" s="29"/>
    </row>
    <row r="221" spans="14:14" s="3" customFormat="1" ht="30" customHeight="1">
      <c r="N221" s="29"/>
    </row>
    <row r="222" spans="14:14" s="3" customFormat="1" ht="30" customHeight="1">
      <c r="N222" s="29"/>
    </row>
    <row r="223" spans="14:14" s="3" customFormat="1" ht="30" customHeight="1">
      <c r="N223" s="29"/>
    </row>
    <row r="224" spans="14:14" s="3" customFormat="1" ht="30" customHeight="1">
      <c r="N224" s="29"/>
    </row>
    <row r="225" spans="14:14" s="3" customFormat="1" ht="30" customHeight="1">
      <c r="N225" s="29"/>
    </row>
    <row r="226" spans="14:14" s="3" customFormat="1" ht="30" customHeight="1">
      <c r="N226" s="29"/>
    </row>
    <row r="227" spans="14:14" s="3" customFormat="1" ht="30" customHeight="1">
      <c r="N227" s="29"/>
    </row>
    <row r="228" spans="14:14" s="3" customFormat="1" ht="30" customHeight="1">
      <c r="N228" s="29"/>
    </row>
    <row r="229" spans="14:14" s="3" customFormat="1" ht="30" customHeight="1">
      <c r="N229" s="29"/>
    </row>
    <row r="230" spans="14:14" s="3" customFormat="1" ht="30" customHeight="1">
      <c r="N230" s="29"/>
    </row>
    <row r="231" spans="14:14" s="3" customFormat="1" ht="30" customHeight="1">
      <c r="N231" s="29"/>
    </row>
    <row r="232" spans="14:14" s="3" customFormat="1" ht="30" customHeight="1">
      <c r="N232" s="29"/>
    </row>
    <row r="233" spans="14:14" s="3" customFormat="1" ht="30" customHeight="1">
      <c r="N233" s="29"/>
    </row>
    <row r="234" spans="14:14" s="3" customFormat="1" ht="30" customHeight="1">
      <c r="N234" s="29"/>
    </row>
    <row r="235" spans="14:14" s="3" customFormat="1" ht="30" customHeight="1">
      <c r="N235" s="29"/>
    </row>
    <row r="236" spans="14:14" s="3" customFormat="1" ht="30" customHeight="1">
      <c r="N236" s="29"/>
    </row>
    <row r="237" spans="14:14" s="3" customFormat="1" ht="30" customHeight="1">
      <c r="N237" s="29"/>
    </row>
    <row r="238" spans="14:14" s="3" customFormat="1" ht="30" customHeight="1">
      <c r="N238" s="29"/>
    </row>
    <row r="239" spans="14:14" s="3" customFormat="1" ht="30" customHeight="1">
      <c r="N239" s="29"/>
    </row>
    <row r="240" spans="14:14" s="3" customFormat="1" ht="30" customHeight="1">
      <c r="N240" s="29"/>
    </row>
    <row r="241" spans="14:14" s="3" customFormat="1" ht="30" customHeight="1">
      <c r="N241" s="29"/>
    </row>
    <row r="242" spans="14:14" s="3" customFormat="1" ht="30" customHeight="1">
      <c r="N242" s="29"/>
    </row>
    <row r="243" spans="14:14" s="3" customFormat="1" ht="30" customHeight="1">
      <c r="N243" s="29"/>
    </row>
    <row r="244" spans="14:14" s="3" customFormat="1" ht="30" customHeight="1">
      <c r="N244" s="29"/>
    </row>
    <row r="245" spans="14:14" s="3" customFormat="1" ht="30" customHeight="1">
      <c r="N245" s="29"/>
    </row>
    <row r="246" spans="14:14" s="3" customFormat="1" ht="30" customHeight="1">
      <c r="N246" s="29"/>
    </row>
    <row r="247" spans="14:14" s="3" customFormat="1" ht="30" customHeight="1">
      <c r="N247" s="29"/>
    </row>
    <row r="248" spans="14:14" s="3" customFormat="1" ht="30" customHeight="1">
      <c r="N248" s="29"/>
    </row>
    <row r="249" spans="14:14" s="3" customFormat="1" ht="30" customHeight="1">
      <c r="N249" s="29"/>
    </row>
    <row r="250" spans="14:14" s="3" customFormat="1" ht="30" customHeight="1">
      <c r="N250" s="29"/>
    </row>
    <row r="251" spans="14:14" s="3" customFormat="1" ht="30" customHeight="1">
      <c r="N251" s="29"/>
    </row>
    <row r="252" spans="14:14" s="3" customFormat="1" ht="30" customHeight="1">
      <c r="N252" s="29"/>
    </row>
    <row r="253" spans="14:14" s="3" customFormat="1" ht="30" customHeight="1">
      <c r="N253" s="29"/>
    </row>
    <row r="254" spans="14:14" s="3" customFormat="1" ht="30" customHeight="1">
      <c r="N254" s="29"/>
    </row>
    <row r="255" spans="14:14" s="3" customFormat="1" ht="30" customHeight="1">
      <c r="N255" s="29"/>
    </row>
    <row r="256" spans="14:14" s="3" customFormat="1" ht="30" customHeight="1">
      <c r="N256" s="29"/>
    </row>
    <row r="257" spans="14:14" s="3" customFormat="1" ht="30" customHeight="1">
      <c r="N257" s="29"/>
    </row>
    <row r="258" spans="14:14" s="3" customFormat="1" ht="30" customHeight="1">
      <c r="N258" s="29"/>
    </row>
    <row r="259" spans="14:14" s="3" customFormat="1" ht="30" customHeight="1">
      <c r="N259" s="29"/>
    </row>
    <row r="260" spans="14:14" s="3" customFormat="1" ht="30" customHeight="1">
      <c r="N260" s="29"/>
    </row>
    <row r="261" spans="14:14" s="3" customFormat="1" ht="30" customHeight="1">
      <c r="N261" s="29"/>
    </row>
    <row r="262" spans="14:14" s="3" customFormat="1" ht="30" customHeight="1">
      <c r="N262" s="29"/>
    </row>
    <row r="263" spans="14:14" s="3" customFormat="1" ht="30" customHeight="1">
      <c r="N263" s="29"/>
    </row>
    <row r="264" spans="14:14" s="3" customFormat="1" ht="30" customHeight="1">
      <c r="N264" s="29"/>
    </row>
    <row r="265" spans="14:14" s="3" customFormat="1" ht="30" customHeight="1">
      <c r="N265" s="29"/>
    </row>
    <row r="266" spans="14:14" s="3" customFormat="1" ht="30" customHeight="1">
      <c r="N266" s="29"/>
    </row>
    <row r="267" spans="14:14" s="3" customFormat="1" ht="30" customHeight="1">
      <c r="N267" s="29"/>
    </row>
    <row r="268" spans="14:14" s="3" customFormat="1" ht="30" customHeight="1">
      <c r="N268" s="29"/>
    </row>
    <row r="269" spans="14:14" s="3" customFormat="1" ht="30" customHeight="1">
      <c r="N269" s="29"/>
    </row>
    <row r="270" spans="14:14" s="3" customFormat="1" ht="30" customHeight="1">
      <c r="N270" s="29"/>
    </row>
    <row r="271" spans="14:14" s="3" customFormat="1" ht="30" customHeight="1">
      <c r="N271" s="29"/>
    </row>
    <row r="272" spans="14:14" s="3" customFormat="1" ht="30" customHeight="1">
      <c r="N272" s="29"/>
    </row>
    <row r="273" spans="14:14" s="3" customFormat="1" ht="30" customHeight="1">
      <c r="N273" s="29"/>
    </row>
    <row r="274" spans="14:14" s="3" customFormat="1" ht="30" customHeight="1">
      <c r="N274" s="29"/>
    </row>
    <row r="275" spans="14:14" s="3" customFormat="1" ht="30" customHeight="1">
      <c r="N275" s="29"/>
    </row>
    <row r="276" spans="14:14" s="3" customFormat="1" ht="30" customHeight="1">
      <c r="N276" s="29"/>
    </row>
    <row r="277" spans="14:14" s="3" customFormat="1" ht="30" customHeight="1">
      <c r="N277" s="29"/>
    </row>
    <row r="278" spans="14:14" s="3" customFormat="1" ht="30" customHeight="1">
      <c r="N278" s="29"/>
    </row>
    <row r="279" spans="14:14" s="3" customFormat="1" ht="30" customHeight="1">
      <c r="N279" s="29"/>
    </row>
    <row r="280" spans="14:14" s="3" customFormat="1" ht="30" customHeight="1">
      <c r="N280" s="29"/>
    </row>
    <row r="281" spans="14:14" s="3" customFormat="1" ht="30" customHeight="1">
      <c r="N281" s="29"/>
    </row>
    <row r="282" spans="14:14" s="3" customFormat="1" ht="30" customHeight="1">
      <c r="N282" s="29"/>
    </row>
    <row r="283" spans="14:14" s="3" customFormat="1" ht="30" customHeight="1">
      <c r="N283" s="29"/>
    </row>
    <row r="284" spans="14:14" s="3" customFormat="1" ht="30" customHeight="1">
      <c r="N284" s="29"/>
    </row>
    <row r="285" spans="14:14" s="3" customFormat="1" ht="30" customHeight="1">
      <c r="N285" s="29"/>
    </row>
    <row r="286" spans="14:14" s="3" customFormat="1" ht="30" customHeight="1">
      <c r="N286" s="29"/>
    </row>
    <row r="287" spans="14:14" s="3" customFormat="1" ht="30" customHeight="1">
      <c r="N287" s="29"/>
    </row>
    <row r="288" spans="14:14" s="3" customFormat="1" ht="30" customHeight="1">
      <c r="N288" s="29"/>
    </row>
    <row r="289" spans="14:14" s="3" customFormat="1" ht="30" customHeight="1">
      <c r="N289" s="29"/>
    </row>
    <row r="290" spans="14:14" s="3" customFormat="1" ht="30" customHeight="1">
      <c r="N290" s="29"/>
    </row>
    <row r="291" spans="14:14" s="3" customFormat="1" ht="30" customHeight="1">
      <c r="N291" s="29"/>
    </row>
    <row r="292" spans="14:14" s="3" customFormat="1" ht="30" customHeight="1">
      <c r="N292" s="29"/>
    </row>
    <row r="293" spans="14:14" s="3" customFormat="1" ht="30" customHeight="1">
      <c r="N293" s="29"/>
    </row>
    <row r="294" spans="14:14" s="3" customFormat="1" ht="30" customHeight="1">
      <c r="N294" s="29"/>
    </row>
    <row r="295" spans="14:14" s="3" customFormat="1" ht="30" customHeight="1">
      <c r="N295" s="29"/>
    </row>
    <row r="296" spans="14:14" s="3" customFormat="1" ht="30" customHeight="1">
      <c r="N296" s="29"/>
    </row>
    <row r="297" spans="14:14" s="3" customFormat="1" ht="30" customHeight="1">
      <c r="N297" s="29"/>
    </row>
    <row r="298" spans="14:14" s="3" customFormat="1" ht="30" customHeight="1">
      <c r="N298" s="29"/>
    </row>
    <row r="299" spans="14:14" s="3" customFormat="1" ht="30" customHeight="1">
      <c r="N299" s="29"/>
    </row>
    <row r="300" spans="14:14" s="3" customFormat="1" ht="30" customHeight="1">
      <c r="N300" s="29"/>
    </row>
    <row r="301" spans="14:14" s="3" customFormat="1" ht="30" customHeight="1">
      <c r="N301" s="29"/>
    </row>
    <row r="302" spans="14:14" s="3" customFormat="1" ht="30" customHeight="1">
      <c r="N302" s="29"/>
    </row>
    <row r="303" spans="14:14" s="3" customFormat="1" ht="30" customHeight="1">
      <c r="N303" s="29"/>
    </row>
    <row r="304" spans="14:14" s="3" customFormat="1" ht="30" customHeight="1">
      <c r="N304" s="29"/>
    </row>
    <row r="305" spans="14:14" s="3" customFormat="1" ht="30" customHeight="1">
      <c r="N305" s="29"/>
    </row>
    <row r="306" spans="14:14" s="3" customFormat="1" ht="30" customHeight="1">
      <c r="N306" s="29"/>
    </row>
    <row r="307" spans="14:14" s="3" customFormat="1" ht="30" customHeight="1">
      <c r="N307" s="29"/>
    </row>
    <row r="308" spans="14:14" s="3" customFormat="1" ht="30" customHeight="1">
      <c r="N308" s="29"/>
    </row>
    <row r="309" spans="14:14" s="3" customFormat="1" ht="30" customHeight="1">
      <c r="N309" s="29"/>
    </row>
    <row r="310" spans="14:14" s="3" customFormat="1" ht="30" customHeight="1">
      <c r="N310" s="29"/>
    </row>
    <row r="311" spans="14:14" s="3" customFormat="1" ht="30" customHeight="1">
      <c r="N311" s="29"/>
    </row>
    <row r="312" spans="14:14" s="3" customFormat="1" ht="30" customHeight="1">
      <c r="N312" s="29"/>
    </row>
    <row r="313" spans="14:14" s="3" customFormat="1" ht="30" customHeight="1">
      <c r="N313" s="29"/>
    </row>
    <row r="314" spans="14:14" s="3" customFormat="1" ht="30" customHeight="1">
      <c r="N314" s="29"/>
    </row>
    <row r="315" spans="14:14" s="3" customFormat="1" ht="30" customHeight="1">
      <c r="N315" s="29"/>
    </row>
    <row r="316" spans="14:14" s="3" customFormat="1" ht="30" customHeight="1">
      <c r="N316" s="29"/>
    </row>
    <row r="317" spans="14:14" s="3" customFormat="1" ht="30" customHeight="1">
      <c r="N317" s="29"/>
    </row>
    <row r="318" spans="14:14" s="3" customFormat="1" ht="30" customHeight="1">
      <c r="N318" s="29"/>
    </row>
    <row r="319" spans="14:14" s="3" customFormat="1" ht="30" customHeight="1">
      <c r="N319" s="29"/>
    </row>
    <row r="320" spans="14:14" s="3" customFormat="1" ht="30" customHeight="1">
      <c r="N320" s="29"/>
    </row>
    <row r="321" spans="14:14" s="3" customFormat="1" ht="30" customHeight="1">
      <c r="N321" s="29"/>
    </row>
    <row r="322" spans="14:14" s="3" customFormat="1" ht="30" customHeight="1">
      <c r="N322" s="29"/>
    </row>
    <row r="323" spans="14:14" s="3" customFormat="1" ht="30" customHeight="1">
      <c r="N323" s="29"/>
    </row>
    <row r="324" spans="14:14" s="3" customFormat="1" ht="30" customHeight="1">
      <c r="N324" s="29"/>
    </row>
    <row r="325" spans="14:14" s="3" customFormat="1" ht="30" customHeight="1">
      <c r="N325" s="29"/>
    </row>
    <row r="326" spans="14:14" s="3" customFormat="1" ht="30" customHeight="1">
      <c r="N326" s="29"/>
    </row>
    <row r="327" spans="14:14" s="3" customFormat="1" ht="30" customHeight="1">
      <c r="N327" s="29"/>
    </row>
    <row r="328" spans="14:14" s="3" customFormat="1" ht="30" customHeight="1">
      <c r="N328" s="29"/>
    </row>
    <row r="329" spans="14:14" s="3" customFormat="1" ht="30" customHeight="1">
      <c r="N329" s="29"/>
    </row>
    <row r="330" spans="14:14" s="3" customFormat="1" ht="30" customHeight="1">
      <c r="N330" s="29"/>
    </row>
    <row r="331" spans="14:14" s="3" customFormat="1" ht="30" customHeight="1">
      <c r="N331" s="29"/>
    </row>
    <row r="332" spans="14:14" s="3" customFormat="1" ht="30" customHeight="1">
      <c r="N332" s="29"/>
    </row>
    <row r="333" spans="14:14" s="3" customFormat="1" ht="30" customHeight="1">
      <c r="N333" s="29"/>
    </row>
    <row r="334" spans="14:14" s="3" customFormat="1" ht="30" customHeight="1">
      <c r="N334" s="29"/>
    </row>
    <row r="335" spans="14:14" s="3" customFormat="1" ht="30" customHeight="1">
      <c r="N335" s="29"/>
    </row>
    <row r="336" spans="14:14" s="3" customFormat="1" ht="30" customHeight="1">
      <c r="N336" s="29"/>
    </row>
    <row r="337" spans="14:14" s="3" customFormat="1" ht="30" customHeight="1">
      <c r="N337" s="29"/>
    </row>
    <row r="338" spans="14:14" s="3" customFormat="1" ht="30" customHeight="1">
      <c r="N338" s="29"/>
    </row>
    <row r="339" spans="14:14" s="3" customFormat="1" ht="30" customHeight="1">
      <c r="N339" s="29"/>
    </row>
    <row r="340" spans="14:14" s="3" customFormat="1" ht="30" customHeight="1">
      <c r="N340" s="29"/>
    </row>
  </sheetData>
  <sheetProtection algorithmName="SHA-512" hashValue="V5zKMEfM2vYaAwyi/EhVmaus026OLCb4MhHkVLQ0gfZH5Zl5/xZGQ2qL78DuXyD7RPq1QvuvANSvR+i2k6vtdA==" saltValue="oKkx8ANybuli+iwlTWk91A==" spinCount="100000" sheet="1" formatCells="0" formatColumns="0" formatRows="0" insertColumns="0" insertRows="0" insertHyperlinks="0" deleteColumns="0" deleteRows="0" sort="0" autoFilter="0" pivotTables="0"/>
  <mergeCells count="223">
    <mergeCell ref="A30:B30"/>
    <mergeCell ref="L35:R35"/>
    <mergeCell ref="L33:R33"/>
    <mergeCell ref="E33:H33"/>
    <mergeCell ref="E32:H32"/>
    <mergeCell ref="E31:H31"/>
    <mergeCell ref="E30:H30"/>
    <mergeCell ref="C33:D33"/>
    <mergeCell ref="J32:K32"/>
    <mergeCell ref="J33:K33"/>
    <mergeCell ref="J34:K34"/>
    <mergeCell ref="J35:K35"/>
    <mergeCell ref="C34:D34"/>
    <mergeCell ref="C35:D35"/>
    <mergeCell ref="E34:H34"/>
    <mergeCell ref="E35:H35"/>
    <mergeCell ref="A34:B34"/>
    <mergeCell ref="A33:B33"/>
    <mergeCell ref="A32:B32"/>
    <mergeCell ref="AI14:AL14"/>
    <mergeCell ref="AI22:AL22"/>
    <mergeCell ref="AI21:AL21"/>
    <mergeCell ref="T16:AM16"/>
    <mergeCell ref="AI19:AM19"/>
    <mergeCell ref="AI18:AM18"/>
    <mergeCell ref="AI17:AM17"/>
    <mergeCell ref="T14:W14"/>
    <mergeCell ref="B19:C19"/>
    <mergeCell ref="O15:S15"/>
    <mergeCell ref="O16:S17"/>
    <mergeCell ref="O18:P18"/>
    <mergeCell ref="H18:H19"/>
    <mergeCell ref="AD21:AG21"/>
    <mergeCell ref="T22:W22"/>
    <mergeCell ref="Y22:AB22"/>
    <mergeCell ref="AD22:AG22"/>
    <mergeCell ref="T19:W19"/>
    <mergeCell ref="Y19:AB19"/>
    <mergeCell ref="AD19:AG19"/>
    <mergeCell ref="T20:W20"/>
    <mergeCell ref="Y20:AB20"/>
    <mergeCell ref="AV6:AW6"/>
    <mergeCell ref="AV7:AV8"/>
    <mergeCell ref="AW7:AW8"/>
    <mergeCell ref="AI11:AL11"/>
    <mergeCell ref="AI9:AL9"/>
    <mergeCell ref="AI20:AL20"/>
    <mergeCell ref="AO6:AQ6"/>
    <mergeCell ref="AR6:AS6"/>
    <mergeCell ref="AT6:AU6"/>
    <mergeCell ref="AO7:AO8"/>
    <mergeCell ref="AP7:AP8"/>
    <mergeCell ref="AQ7:AQ8"/>
    <mergeCell ref="AR7:AR8"/>
    <mergeCell ref="AS7:AS8"/>
    <mergeCell ref="AT7:AT8"/>
    <mergeCell ref="AU7:AU8"/>
    <mergeCell ref="AI15:AL15"/>
    <mergeCell ref="T10:AM10"/>
    <mergeCell ref="T6:AM7"/>
    <mergeCell ref="AI8:AM8"/>
    <mergeCell ref="AI12:AL13"/>
    <mergeCell ref="AM12:AM13"/>
    <mergeCell ref="AD8:AH8"/>
    <mergeCell ref="AH12:AH13"/>
    <mergeCell ref="A1:AA1"/>
    <mergeCell ref="N4:S5"/>
    <mergeCell ref="T4:X5"/>
    <mergeCell ref="Y4:AC5"/>
    <mergeCell ref="AD4:AH5"/>
    <mergeCell ref="A16:A17"/>
    <mergeCell ref="A20:A21"/>
    <mergeCell ref="B20:C20"/>
    <mergeCell ref="A18:A19"/>
    <mergeCell ref="Y18:AB18"/>
    <mergeCell ref="T21:W21"/>
    <mergeCell ref="B21:C21"/>
    <mergeCell ref="AD20:AH20"/>
    <mergeCell ref="K10:L11"/>
    <mergeCell ref="K12:L13"/>
    <mergeCell ref="H4:J4"/>
    <mergeCell ref="F6:G6"/>
    <mergeCell ref="F7:G7"/>
    <mergeCell ref="F8:G8"/>
    <mergeCell ref="AH1:AM1"/>
    <mergeCell ref="AI4:AM5"/>
    <mergeCell ref="I20:J20"/>
    <mergeCell ref="K20:L21"/>
    <mergeCell ref="H20:H21"/>
    <mergeCell ref="K6:L7"/>
    <mergeCell ref="K8:L9"/>
    <mergeCell ref="N22:S22"/>
    <mergeCell ref="A22:L24"/>
    <mergeCell ref="K14:L15"/>
    <mergeCell ref="I6:J6"/>
    <mergeCell ref="I7:J7"/>
    <mergeCell ref="I8:J8"/>
    <mergeCell ref="I9:J9"/>
    <mergeCell ref="I10:J10"/>
    <mergeCell ref="I11:J11"/>
    <mergeCell ref="I12:J12"/>
    <mergeCell ref="D12:E13"/>
    <mergeCell ref="D14:E15"/>
    <mergeCell ref="D16:E17"/>
    <mergeCell ref="D18:E19"/>
    <mergeCell ref="D20:E21"/>
    <mergeCell ref="D6:E7"/>
    <mergeCell ref="A7:C7"/>
    <mergeCell ref="A6:C6"/>
    <mergeCell ref="H8:H9"/>
    <mergeCell ref="F21:G21"/>
    <mergeCell ref="N20:S20"/>
    <mergeCell ref="N21:S21"/>
    <mergeCell ref="C32:D32"/>
    <mergeCell ref="A31:B31"/>
    <mergeCell ref="C31:D31"/>
    <mergeCell ref="C30:D30"/>
    <mergeCell ref="L30:R30"/>
    <mergeCell ref="L31:R31"/>
    <mergeCell ref="L34:R34"/>
    <mergeCell ref="J31:K31"/>
    <mergeCell ref="AD25:AG25"/>
    <mergeCell ref="Y25:AC25"/>
    <mergeCell ref="P25:X25"/>
    <mergeCell ref="A28:R28"/>
    <mergeCell ref="A26:C26"/>
    <mergeCell ref="F29:H29"/>
    <mergeCell ref="J26:K26"/>
    <mergeCell ref="G26:I26"/>
    <mergeCell ref="A29:B29"/>
    <mergeCell ref="Y29:AA29"/>
    <mergeCell ref="O29:S29"/>
    <mergeCell ref="Y33:AM39"/>
    <mergeCell ref="L32:R32"/>
    <mergeCell ref="A36:R39"/>
    <mergeCell ref="A35:B35"/>
    <mergeCell ref="J30:K30"/>
    <mergeCell ref="A8:A9"/>
    <mergeCell ref="A10:A11"/>
    <mergeCell ref="A12:A13"/>
    <mergeCell ref="A14:A15"/>
    <mergeCell ref="H6:H7"/>
    <mergeCell ref="F11:G11"/>
    <mergeCell ref="B15:C15"/>
    <mergeCell ref="B16:C16"/>
    <mergeCell ref="B17:C17"/>
    <mergeCell ref="F9:G9"/>
    <mergeCell ref="F10:G10"/>
    <mergeCell ref="F16:G16"/>
    <mergeCell ref="F17:G17"/>
    <mergeCell ref="H10:H11"/>
    <mergeCell ref="H12:H13"/>
    <mergeCell ref="H14:H15"/>
    <mergeCell ref="F12:G12"/>
    <mergeCell ref="F13:G13"/>
    <mergeCell ref="F14:G14"/>
    <mergeCell ref="H16:H17"/>
    <mergeCell ref="D8:E9"/>
    <mergeCell ref="D10:E11"/>
    <mergeCell ref="J29:K29"/>
    <mergeCell ref="T15:W15"/>
    <mergeCell ref="T8:X8"/>
    <mergeCell ref="Y8:AC8"/>
    <mergeCell ref="B8:C8"/>
    <mergeCell ref="B9:C9"/>
    <mergeCell ref="B10:C10"/>
    <mergeCell ref="B11:C11"/>
    <mergeCell ref="B12:C12"/>
    <mergeCell ref="B13:C13"/>
    <mergeCell ref="Y12:AB13"/>
    <mergeCell ref="B14:C14"/>
    <mergeCell ref="Y21:AB21"/>
    <mergeCell ref="I19:J19"/>
    <mergeCell ref="I21:J21"/>
    <mergeCell ref="K16:L17"/>
    <mergeCell ref="K18:L19"/>
    <mergeCell ref="O19:S19"/>
    <mergeCell ref="F20:G20"/>
    <mergeCell ref="F15:G15"/>
    <mergeCell ref="F18:G18"/>
    <mergeCell ref="F19:G19"/>
    <mergeCell ref="I17:J17"/>
    <mergeCell ref="B18:C18"/>
    <mergeCell ref="I13:J13"/>
    <mergeCell ref="T18:W18"/>
    <mergeCell ref="AD18:AG18"/>
    <mergeCell ref="Q18:S18"/>
    <mergeCell ref="I14:J14"/>
    <mergeCell ref="I18:J18"/>
    <mergeCell ref="I15:J15"/>
    <mergeCell ref="I16:J16"/>
    <mergeCell ref="Y14:AB14"/>
    <mergeCell ref="AD14:AG14"/>
    <mergeCell ref="Y15:AB15"/>
    <mergeCell ref="AD15:AG15"/>
    <mergeCell ref="T17:W17"/>
    <mergeCell ref="Y17:AB17"/>
    <mergeCell ref="AD17:AG17"/>
    <mergeCell ref="R13:S13"/>
    <mergeCell ref="A2:L3"/>
    <mergeCell ref="O26:S26"/>
    <mergeCell ref="T26:W26"/>
    <mergeCell ref="Y26:AC26"/>
    <mergeCell ref="AD26:AG26"/>
    <mergeCell ref="O9:S9"/>
    <mergeCell ref="T9:W9"/>
    <mergeCell ref="Y9:AB9"/>
    <mergeCell ref="AD9:AG9"/>
    <mergeCell ref="O10:S11"/>
    <mergeCell ref="O12:Q12"/>
    <mergeCell ref="R12:S12"/>
    <mergeCell ref="T11:W11"/>
    <mergeCell ref="Y11:AB11"/>
    <mergeCell ref="AD11:AG11"/>
    <mergeCell ref="X12:X13"/>
    <mergeCell ref="T12:W13"/>
    <mergeCell ref="AC12:AC13"/>
    <mergeCell ref="O3:AE3"/>
    <mergeCell ref="O6:S8"/>
    <mergeCell ref="AD12:AG13"/>
    <mergeCell ref="O14:P14"/>
    <mergeCell ref="Q14:S14"/>
    <mergeCell ref="O13:Q13"/>
  </mergeCells>
  <phoneticPr fontId="3"/>
  <dataValidations count="2">
    <dataValidation type="list" allowBlank="1" showInputMessage="1" showErrorMessage="1" sqref="B8:C8" xr:uid="{00000000-0002-0000-0000-000000000000}">
      <formula1>世帯区分</formula1>
    </dataValidation>
    <dataValidation type="list" allowBlank="1" showInputMessage="1" showErrorMessage="1" sqref="B9:C9" xr:uid="{00000000-0002-0000-0000-000001000000}">
      <formula1>INDIRECT(B8)</formula1>
    </dataValidation>
  </dataValidations>
  <pageMargins left="0.11811023622047245" right="0.11811023622047245" top="0.15748031496062992" bottom="0.15748031496062992" header="0.31496062992125984" footer="0.31496062992125984"/>
  <pageSetup paperSize="9" scale="91" orientation="landscape" cellComments="asDisplayed" r:id="rId1"/>
  <headerFooter>
    <oddFooter>&amp;R&amp;F</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リスト!$A$2:$A$13</xm:f>
          </x14:formula1>
          <xm:sqref>A4 K4</xm:sqref>
        </x14:dataValidation>
        <x14:dataValidation type="list" allowBlank="1" showInputMessage="1" showErrorMessage="1" xr:uid="{00000000-0002-0000-0000-000003000000}">
          <x14:formula1>
            <xm:f>リスト!$F$2:$F$4</xm:f>
          </x14:formula1>
          <xm:sqref>B11:C11 B13:C13 B15:C15 B17:C17 B21:C21 B19:C19</xm:sqref>
        </x14:dataValidation>
        <x14:dataValidation type="list" allowBlank="1" showInputMessage="1" showErrorMessage="1" xr:uid="{00000000-0002-0000-0000-000004000000}">
          <x14:formula1>
            <xm:f>リスト!$H$2:$H$3</xm:f>
          </x14:formula1>
          <xm:sqref>H8:H21</xm:sqref>
        </x14:dataValidation>
        <x14:dataValidation type="list" allowBlank="1" showInputMessage="1" showErrorMessage="1" xr:uid="{00000000-0002-0000-0000-000005000000}">
          <x14:formula1>
            <xm:f>リスト!$H$12</xm:f>
          </x14:formula1>
          <xm:sqref>D8:E21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36"/>
  <sheetViews>
    <sheetView topLeftCell="A2" zoomScaleNormal="100" workbookViewId="0">
      <selection activeCell="E24" sqref="E24:F24"/>
    </sheetView>
  </sheetViews>
  <sheetFormatPr defaultRowHeight="13.5"/>
  <cols>
    <col min="1" max="1" width="20.375" customWidth="1"/>
    <col min="2" max="2" width="12.25" bestFit="1" customWidth="1"/>
    <col min="3" max="3" width="15.75" customWidth="1"/>
    <col min="4" max="10" width="9.75" customWidth="1"/>
    <col min="11" max="11" width="10" bestFit="1" customWidth="1"/>
    <col min="12" max="14" width="10.625" customWidth="1"/>
    <col min="18" max="27" width="13.75" customWidth="1"/>
    <col min="28" max="30" width="6.75" customWidth="1"/>
    <col min="31" max="31" width="11.625" bestFit="1" customWidth="1"/>
    <col min="32" max="32" width="11.625" style="34" bestFit="1" customWidth="1"/>
    <col min="33" max="33" width="4.5" style="34" customWidth="1"/>
    <col min="34" max="38" width="8.875" style="34"/>
  </cols>
  <sheetData>
    <row r="1" spans="1:40" ht="21">
      <c r="A1" s="33" t="s">
        <v>52</v>
      </c>
    </row>
    <row r="2" spans="1:40">
      <c r="D2" s="34"/>
      <c r="H2" s="35"/>
      <c r="I2" s="36" t="s">
        <v>53</v>
      </c>
    </row>
    <row r="3" spans="1:40" ht="6" customHeight="1">
      <c r="D3" s="37"/>
      <c r="E3" s="36"/>
    </row>
    <row r="4" spans="1:40">
      <c r="A4" s="379" t="s">
        <v>54</v>
      </c>
      <c r="B4" s="380"/>
      <c r="C4" s="385" t="s">
        <v>55</v>
      </c>
      <c r="D4" s="386"/>
      <c r="E4" s="386"/>
      <c r="F4" s="387"/>
      <c r="G4" s="388" t="s">
        <v>56</v>
      </c>
      <c r="H4" s="389"/>
      <c r="I4" s="388" t="s">
        <v>57</v>
      </c>
      <c r="J4" s="390"/>
      <c r="K4" s="388" t="s">
        <v>153</v>
      </c>
      <c r="L4" s="390"/>
      <c r="M4" s="120"/>
      <c r="N4" s="137"/>
    </row>
    <row r="5" spans="1:40">
      <c r="A5" s="381"/>
      <c r="B5" s="382"/>
      <c r="C5" s="38" t="s">
        <v>58</v>
      </c>
      <c r="D5" s="39">
        <v>7.17E-2</v>
      </c>
      <c r="E5" s="40" t="s">
        <v>59</v>
      </c>
      <c r="F5" s="135">
        <v>26000</v>
      </c>
      <c r="G5" s="38" t="s">
        <v>58</v>
      </c>
      <c r="H5" s="39">
        <v>2.5700000000000001E-2</v>
      </c>
      <c r="I5" s="38" t="s">
        <v>58</v>
      </c>
      <c r="J5" s="41">
        <v>2.12E-2</v>
      </c>
      <c r="K5" s="38" t="s">
        <v>58</v>
      </c>
      <c r="L5" s="41">
        <v>2.3999999999999998E-3</v>
      </c>
      <c r="M5" s="132"/>
      <c r="N5" s="132"/>
    </row>
    <row r="6" spans="1:40">
      <c r="A6" s="383"/>
      <c r="B6" s="384"/>
      <c r="C6" s="42" t="s">
        <v>60</v>
      </c>
      <c r="D6" s="43" t="s">
        <v>61</v>
      </c>
      <c r="E6" s="44" t="s">
        <v>62</v>
      </c>
      <c r="F6" s="45">
        <v>26500</v>
      </c>
      <c r="G6" s="42" t="s">
        <v>59</v>
      </c>
      <c r="H6" s="45">
        <v>16000</v>
      </c>
      <c r="I6" s="44" t="s">
        <v>59</v>
      </c>
      <c r="J6" s="45">
        <v>15800</v>
      </c>
      <c r="K6" s="44" t="s">
        <v>59</v>
      </c>
      <c r="L6" s="45">
        <v>1600</v>
      </c>
      <c r="M6" s="133"/>
      <c r="N6" s="133"/>
      <c r="P6" t="s">
        <v>104</v>
      </c>
      <c r="Q6" s="102">
        <f>'Ｒ８国保税額試算シート'!K4</f>
        <v>4</v>
      </c>
    </row>
    <row r="7" spans="1:40">
      <c r="M7" s="18"/>
      <c r="N7" s="18"/>
      <c r="Q7" t="s">
        <v>105</v>
      </c>
      <c r="R7" s="102">
        <f>VLOOKUP(Q6,リスト!A16:D27,4,FALSE)</f>
        <v>8</v>
      </c>
      <c r="AF7"/>
      <c r="AM7" s="34"/>
    </row>
    <row r="8" spans="1:40">
      <c r="A8" s="391" t="s">
        <v>63</v>
      </c>
      <c r="B8" s="393" t="s">
        <v>64</v>
      </c>
      <c r="C8" s="395" t="s">
        <v>65</v>
      </c>
      <c r="D8" s="397" t="s">
        <v>55</v>
      </c>
      <c r="E8" s="398"/>
      <c r="F8" s="397" t="s">
        <v>56</v>
      </c>
      <c r="G8" s="398"/>
      <c r="H8" s="397" t="s">
        <v>57</v>
      </c>
      <c r="I8" s="398"/>
      <c r="J8" s="46" t="s">
        <v>66</v>
      </c>
      <c r="K8" s="397" t="s">
        <v>153</v>
      </c>
      <c r="L8" s="398"/>
      <c r="M8" s="46" t="s">
        <v>161</v>
      </c>
      <c r="N8" s="139" t="s">
        <v>162</v>
      </c>
      <c r="O8" s="5" t="s">
        <v>67</v>
      </c>
      <c r="P8" s="402" t="s">
        <v>72</v>
      </c>
      <c r="Q8" s="407" t="s">
        <v>122</v>
      </c>
      <c r="R8" s="405" t="e">
        <f>'Ｒ８国保税額試算シート'!J26</f>
        <v>#N/A</v>
      </c>
      <c r="S8" s="406"/>
      <c r="T8" s="102">
        <v>8</v>
      </c>
      <c r="U8" s="102">
        <v>7</v>
      </c>
      <c r="V8" s="102">
        <v>6</v>
      </c>
      <c r="W8" s="102">
        <v>5</v>
      </c>
      <c r="X8" s="102">
        <v>4</v>
      </c>
      <c r="Y8" s="102">
        <v>3</v>
      </c>
      <c r="Z8" s="102">
        <v>2</v>
      </c>
      <c r="AA8" s="102">
        <v>1</v>
      </c>
      <c r="AB8" s="102" t="s">
        <v>106</v>
      </c>
      <c r="AC8" s="102" t="s">
        <v>107</v>
      </c>
      <c r="AF8"/>
      <c r="AG8" t="s">
        <v>135</v>
      </c>
      <c r="AJ8" s="34" t="s">
        <v>133</v>
      </c>
      <c r="AM8" s="34"/>
      <c r="AN8" s="34"/>
    </row>
    <row r="9" spans="1:40">
      <c r="A9" s="392"/>
      <c r="B9" s="394"/>
      <c r="C9" s="396"/>
      <c r="D9" s="47" t="s">
        <v>68</v>
      </c>
      <c r="E9" s="47" t="s">
        <v>59</v>
      </c>
      <c r="F9" s="47" t="s">
        <v>68</v>
      </c>
      <c r="G9" s="47" t="s">
        <v>59</v>
      </c>
      <c r="H9" s="47" t="s">
        <v>68</v>
      </c>
      <c r="I9" s="47" t="s">
        <v>59</v>
      </c>
      <c r="J9" s="48"/>
      <c r="K9" s="47" t="s">
        <v>68</v>
      </c>
      <c r="L9" s="47" t="s">
        <v>59</v>
      </c>
      <c r="M9" s="131"/>
      <c r="N9" s="131"/>
      <c r="P9" s="403"/>
      <c r="Q9" s="408"/>
      <c r="R9" s="404" t="s">
        <v>97</v>
      </c>
      <c r="S9" s="401"/>
      <c r="T9" s="103" t="s">
        <v>98</v>
      </c>
      <c r="U9" s="103" t="s">
        <v>98</v>
      </c>
      <c r="V9" s="103" t="s">
        <v>98</v>
      </c>
      <c r="W9" s="103" t="s">
        <v>98</v>
      </c>
      <c r="X9" s="103" t="s">
        <v>98</v>
      </c>
      <c r="Y9" s="103" t="s">
        <v>98</v>
      </c>
      <c r="Z9" s="103" t="s">
        <v>98</v>
      </c>
      <c r="AA9" s="103" t="s">
        <v>98</v>
      </c>
      <c r="AB9" s="103" t="s">
        <v>98</v>
      </c>
      <c r="AC9" s="103" t="s">
        <v>98</v>
      </c>
      <c r="AD9" s="401" t="s">
        <v>99</v>
      </c>
      <c r="AE9" s="401"/>
      <c r="AF9" s="401"/>
      <c r="AG9" s="113" t="s">
        <v>128</v>
      </c>
      <c r="AH9" s="113" t="s">
        <v>129</v>
      </c>
      <c r="AI9" s="113" t="s">
        <v>130</v>
      </c>
      <c r="AJ9" s="113" t="s">
        <v>131</v>
      </c>
      <c r="AK9" s="113" t="s">
        <v>132</v>
      </c>
      <c r="AL9" s="113" t="s">
        <v>134</v>
      </c>
      <c r="AM9" s="34"/>
      <c r="AN9" s="34"/>
    </row>
    <row r="10" spans="1:40" ht="14.25">
      <c r="A10" s="90">
        <f>'Ｒ８国保税額試算シート'!B8</f>
        <v>0</v>
      </c>
      <c r="B10" s="91">
        <f>IF(A10=リスト!F1,'Ｒ８国保税額試算シート'!F9+'Ｒ８国保税額試算シート'!I9+'Ｒ８国保税額試算シート'!K8,0)</f>
        <v>0</v>
      </c>
      <c r="C10" s="91">
        <f t="shared" ref="C10:C16" si="0">IF(B10="",0,IF(B10&lt;430000,0,B10-430000))</f>
        <v>0</v>
      </c>
      <c r="D10" s="91">
        <f>IF(C10="",0,INT(C10*$D$5))</f>
        <v>0</v>
      </c>
      <c r="E10" s="91">
        <f>IF(A10=リスト!F1,$F$5,0)</f>
        <v>0</v>
      </c>
      <c r="F10" s="91">
        <f>IF(C10="",0,INT(C10*$H$5))</f>
        <v>0</v>
      </c>
      <c r="G10" s="91">
        <f>IF(A10=リスト!F1,$H$6,0)</f>
        <v>0</v>
      </c>
      <c r="H10" s="91">
        <f>IF(J10=0,0,INT(C10*$J$5))</f>
        <v>0</v>
      </c>
      <c r="I10" s="91">
        <f>IF(J10=0,0,$J$6)</f>
        <v>0</v>
      </c>
      <c r="J10" s="92">
        <f>IF(AND('Ｒ８国保税額試算シート'!B9=リスト!F$3,'Ｒ８国保税額試算シート'!B8=リスト!F1),1,0)</f>
        <v>0</v>
      </c>
      <c r="K10" s="91">
        <f t="shared" ref="K10:K16" si="1">IF(C10="",0,INT(C10*$L$5))</f>
        <v>0</v>
      </c>
      <c r="L10" s="91">
        <f>IF(A10=リスト!F1,$L$6,0)</f>
        <v>0</v>
      </c>
      <c r="M10" s="126">
        <f>IF(OR(Q10=リスト!F12,A10=0),1,0)</f>
        <v>1</v>
      </c>
      <c r="N10" s="126"/>
      <c r="O10" s="99">
        <f t="shared" ref="O10:O16" si="2">SUM(D10:I10)</f>
        <v>0</v>
      </c>
      <c r="P10" s="100">
        <f>IF('Ｒ８国保税額試算シート'!F9+'Ｒ８国保税額試算シート'!K8+年金所得計算シート!J2&lt;0,0,'Ｒ８国保税額試算シート'!F9+'Ｒ８国保税額試算シート'!K8+年金所得計算シート!J2)</f>
        <v>0</v>
      </c>
      <c r="Q10" s="110">
        <f>'Ｒ８国保税額試算シート'!D8</f>
        <v>0</v>
      </c>
      <c r="R10" s="401" t="s">
        <v>88</v>
      </c>
      <c r="S10" s="401"/>
      <c r="T10" s="104" t="e">
        <f>IF(T11=0,0,R8-SUM(T11:T17))</f>
        <v>#N/A</v>
      </c>
      <c r="U10" s="104"/>
      <c r="V10" s="104"/>
      <c r="W10" s="104"/>
      <c r="X10" s="104"/>
      <c r="Y10" s="104"/>
      <c r="Z10" s="104"/>
      <c r="AA10" s="104"/>
      <c r="AB10" s="104"/>
      <c r="AC10" s="104"/>
      <c r="AD10" s="399">
        <v>46234</v>
      </c>
      <c r="AE10" s="400"/>
      <c r="AF10" s="400"/>
      <c r="AG10">
        <f>IF('Ｒ８国保税額試算シート'!F9&gt;0,1,0)</f>
        <v>0</v>
      </c>
      <c r="AH10" s="34">
        <f>IF(AG10=1,0,IF('Ｒ８国保税額試算シート'!I9&gt;0,1,0))</f>
        <v>0</v>
      </c>
      <c r="AJ10" s="34">
        <f>IF(給与所得計算シート!F2&gt;100000,100000,給与所得計算シート!F2)</f>
        <v>0</v>
      </c>
      <c r="AK10" s="34">
        <f>IF(年金所得計算シート!H2&gt;100000,100000,年金所得計算シート!H2)</f>
        <v>0</v>
      </c>
      <c r="AL10" s="34">
        <f>IF((AJ10+AK10-100000)&lt;0,0,AJ10+AK10-100000)</f>
        <v>0</v>
      </c>
      <c r="AM10" s="34"/>
      <c r="AN10" s="34"/>
    </row>
    <row r="11" spans="1:40" ht="14.25">
      <c r="A11" s="90">
        <f>'Ｒ８国保税額試算シート'!B11</f>
        <v>0</v>
      </c>
      <c r="B11" s="91">
        <f>'Ｒ８国保税額試算シート'!F11+'Ｒ８国保税額試算シート'!I11+'Ｒ８国保税額試算シート'!K10</f>
        <v>0</v>
      </c>
      <c r="C11" s="91">
        <f t="shared" si="0"/>
        <v>0</v>
      </c>
      <c r="D11" s="91">
        <f t="shared" ref="D11:D16" si="3">IF(C11="",0,INT(C11*$D$5))</f>
        <v>0</v>
      </c>
      <c r="E11" s="91">
        <f t="shared" ref="E11:E16" si="4">IF(A11=0,0,$F$5)</f>
        <v>0</v>
      </c>
      <c r="F11" s="91">
        <f t="shared" ref="F11:F16" si="5">IF(C11="",0,INT(C11*$H$5))</f>
        <v>0</v>
      </c>
      <c r="G11" s="91">
        <f t="shared" ref="G11:G16" si="6">IF(A11=0,0,$H$6)</f>
        <v>0</v>
      </c>
      <c r="H11" s="91">
        <f t="shared" ref="H11:H16" si="7">IF(J11=0,0,INT(C11*$J$5))</f>
        <v>0</v>
      </c>
      <c r="I11" s="91">
        <f t="shared" ref="I11:I16" si="8">IF(J11=0,0,$J$6)</f>
        <v>0</v>
      </c>
      <c r="J11" s="92">
        <f>IF(A11=リスト!F$3,1,0)</f>
        <v>0</v>
      </c>
      <c r="K11" s="91">
        <f t="shared" si="1"/>
        <v>0</v>
      </c>
      <c r="L11" s="91">
        <f>IF(M11=0,0,$L$6)</f>
        <v>0</v>
      </c>
      <c r="M11" s="126">
        <f>IF(AND(N11=1,Q11=0),1,0)</f>
        <v>0</v>
      </c>
      <c r="N11" s="126">
        <f>IF(ISERROR(VLOOKUP(A11,リスト!$F$2:$F$4,1,FALSE)),0,1)</f>
        <v>0</v>
      </c>
      <c r="O11" s="99">
        <f t="shared" si="2"/>
        <v>0</v>
      </c>
      <c r="P11" s="100">
        <f>IF('Ｒ８国保税額試算シート'!F11+'Ｒ８国保税額試算シート'!K10+年金所得計算シート!J9&lt;0,0,'Ｒ８国保税額試算シート'!F11+'Ｒ８国保税額試算シート'!K10+年金所得計算シート!J9)</f>
        <v>0</v>
      </c>
      <c r="Q11" s="110">
        <f>'Ｒ８国保税額試算シート'!D10</f>
        <v>0</v>
      </c>
      <c r="R11" s="401" t="s">
        <v>89</v>
      </c>
      <c r="S11" s="401"/>
      <c r="T11" s="104" t="e">
        <f>IF(T8=R7,ROUNDDOWN(R8/8,-3),0)</f>
        <v>#N/A</v>
      </c>
      <c r="U11" s="104">
        <f>IF(U12=0,0,R8-SUM(U12:U17))</f>
        <v>0</v>
      </c>
      <c r="V11" s="104"/>
      <c r="W11" s="104"/>
      <c r="X11" s="104"/>
      <c r="Y11" s="104"/>
      <c r="Z11" s="104"/>
      <c r="AA11" s="104"/>
      <c r="AB11" s="104"/>
      <c r="AC11" s="104"/>
      <c r="AD11" s="399">
        <v>46265</v>
      </c>
      <c r="AE11" s="400"/>
      <c r="AF11" s="400"/>
      <c r="AG11">
        <f>IF('Ｒ８国保税額試算シート'!F11&gt;0,1,0)</f>
        <v>0</v>
      </c>
      <c r="AH11" s="34">
        <f>IF(AG11=1,0,IF('Ｒ８国保税額試算シート'!I11&gt;0,1,0))</f>
        <v>0</v>
      </c>
      <c r="AJ11" s="34">
        <f>IF(給与所得計算シート!F10&gt;100000,100000,給与所得計算シート!F10)</f>
        <v>0</v>
      </c>
      <c r="AK11" s="34">
        <f>IF(年金所得計算シート!H9&gt;100000,100000,年金所得計算シート!H9)</f>
        <v>0</v>
      </c>
      <c r="AL11" s="34">
        <f t="shared" ref="AL11:AL16" si="9">IF((AJ11+AK11-100000)&lt;0,0,AJ11+AK11-100000)</f>
        <v>0</v>
      </c>
      <c r="AM11" s="34"/>
      <c r="AN11" s="34"/>
    </row>
    <row r="12" spans="1:40" ht="14.25">
      <c r="A12" s="90">
        <f>'Ｒ８国保税額試算シート'!B13</f>
        <v>0</v>
      </c>
      <c r="B12" s="91">
        <f>'Ｒ８国保税額試算シート'!F13+'Ｒ８国保税額試算シート'!I13+'Ｒ８国保税額試算シート'!K12</f>
        <v>0</v>
      </c>
      <c r="C12" s="91">
        <f t="shared" si="0"/>
        <v>0</v>
      </c>
      <c r="D12" s="91">
        <f t="shared" si="3"/>
        <v>0</v>
      </c>
      <c r="E12" s="91">
        <f t="shared" si="4"/>
        <v>0</v>
      </c>
      <c r="F12" s="91">
        <f t="shared" si="5"/>
        <v>0</v>
      </c>
      <c r="G12" s="91">
        <f t="shared" si="6"/>
        <v>0</v>
      </c>
      <c r="H12" s="91">
        <f t="shared" si="7"/>
        <v>0</v>
      </c>
      <c r="I12" s="91">
        <f t="shared" si="8"/>
        <v>0</v>
      </c>
      <c r="J12" s="92">
        <f>IF(A12=リスト!F$3,1,0)</f>
        <v>0</v>
      </c>
      <c r="K12" s="91">
        <f t="shared" si="1"/>
        <v>0</v>
      </c>
      <c r="L12" s="91">
        <f t="shared" ref="L12:L16" si="10">IF(M12=0,0,$L$6)</f>
        <v>0</v>
      </c>
      <c r="M12" s="126">
        <f t="shared" ref="M12:M16" si="11">IF(AND(N12=1,Q12=0),1,0)</f>
        <v>0</v>
      </c>
      <c r="N12" s="126">
        <f>IF(ISERROR(VLOOKUP(A12,リスト!$F$2:$F$4,1,FALSE)),0,1)</f>
        <v>0</v>
      </c>
      <c r="O12" s="99">
        <f t="shared" si="2"/>
        <v>0</v>
      </c>
      <c r="P12" s="100">
        <f>IF('Ｒ８国保税額試算シート'!F13+'Ｒ８国保税額試算シート'!K12+年金所得計算シート!J16&lt;0,0,'Ｒ８国保税額試算シート'!F13+'Ｒ８国保税額試算シート'!K12+年金所得計算シート!J16)</f>
        <v>0</v>
      </c>
      <c r="Q12" s="110">
        <f>'Ｒ８国保税額試算シート'!D12</f>
        <v>0</v>
      </c>
      <c r="R12" s="401" t="s">
        <v>90</v>
      </c>
      <c r="S12" s="401"/>
      <c r="T12" s="104" t="e">
        <f>T11</f>
        <v>#N/A</v>
      </c>
      <c r="U12" s="104">
        <f>IF(U8=R7,ROUNDDOWN(R8/7,-3),0)</f>
        <v>0</v>
      </c>
      <c r="V12" s="104">
        <f>IF(V13=0,0,R8-SUM(V13:V17))</f>
        <v>0</v>
      </c>
      <c r="W12" s="104"/>
      <c r="X12" s="104"/>
      <c r="Y12" s="104"/>
      <c r="Z12" s="104"/>
      <c r="AA12" s="104"/>
      <c r="AB12" s="104"/>
      <c r="AC12" s="104"/>
      <c r="AD12" s="399">
        <v>46295</v>
      </c>
      <c r="AE12" s="400"/>
      <c r="AF12" s="400"/>
      <c r="AG12">
        <f>IF('Ｒ８国保税額試算シート'!F13&gt;0,1,0)</f>
        <v>0</v>
      </c>
      <c r="AH12" s="34">
        <f>IF(AG12=1,0,IF('Ｒ８国保税額試算シート'!I13&gt;0,1,0))</f>
        <v>0</v>
      </c>
      <c r="AJ12" s="34">
        <f>IF(給与所得計算シート!F18&gt;100000,100000,給与所得計算シート!F18)</f>
        <v>0</v>
      </c>
      <c r="AK12" s="34">
        <f>IF(年金所得計算シート!H16&gt;100000,100000,年金所得計算シート!H16)</f>
        <v>0</v>
      </c>
      <c r="AL12" s="34">
        <f t="shared" si="9"/>
        <v>0</v>
      </c>
      <c r="AM12" s="34"/>
      <c r="AN12" s="34"/>
    </row>
    <row r="13" spans="1:40" ht="14.25">
      <c r="A13" s="90">
        <f>'Ｒ８国保税額試算シート'!B15</f>
        <v>0</v>
      </c>
      <c r="B13" s="91">
        <f>'Ｒ８国保税額試算シート'!F15+'Ｒ８国保税額試算シート'!I15+'Ｒ８国保税額試算シート'!K14</f>
        <v>0</v>
      </c>
      <c r="C13" s="91">
        <f t="shared" si="0"/>
        <v>0</v>
      </c>
      <c r="D13" s="91">
        <f t="shared" si="3"/>
        <v>0</v>
      </c>
      <c r="E13" s="91">
        <f t="shared" si="4"/>
        <v>0</v>
      </c>
      <c r="F13" s="91">
        <f t="shared" si="5"/>
        <v>0</v>
      </c>
      <c r="G13" s="91">
        <f t="shared" si="6"/>
        <v>0</v>
      </c>
      <c r="H13" s="91">
        <f t="shared" si="7"/>
        <v>0</v>
      </c>
      <c r="I13" s="91">
        <f t="shared" si="8"/>
        <v>0</v>
      </c>
      <c r="J13" s="92">
        <f>IF(A13=リスト!F$3,1,0)</f>
        <v>0</v>
      </c>
      <c r="K13" s="91">
        <f t="shared" si="1"/>
        <v>0</v>
      </c>
      <c r="L13" s="91">
        <f t="shared" si="10"/>
        <v>0</v>
      </c>
      <c r="M13" s="126">
        <f t="shared" si="11"/>
        <v>0</v>
      </c>
      <c r="N13" s="126">
        <f>IF(ISERROR(VLOOKUP(A13,リスト!$F$2:$F$4,1,FALSE)),0,1)</f>
        <v>0</v>
      </c>
      <c r="O13" s="99">
        <f t="shared" si="2"/>
        <v>0</v>
      </c>
      <c r="P13" s="100">
        <f>IF('Ｒ８国保税額試算シート'!F15+'Ｒ８国保税額試算シート'!K14+年金所得計算シート!J23&lt;0,0,'Ｒ８国保税額試算シート'!F15+'Ｒ８国保税額試算シート'!K14+年金所得計算シート!J23)</f>
        <v>0</v>
      </c>
      <c r="Q13" s="110">
        <f>'Ｒ８国保税額試算シート'!D14</f>
        <v>0</v>
      </c>
      <c r="R13" s="401" t="s">
        <v>91</v>
      </c>
      <c r="S13" s="401"/>
      <c r="T13" s="104" t="e">
        <f>T11</f>
        <v>#N/A</v>
      </c>
      <c r="U13" s="104">
        <f>U12</f>
        <v>0</v>
      </c>
      <c r="V13" s="104">
        <f>IF(V8=R7,ROUNDDOWN(R8/6,-3),0)</f>
        <v>0</v>
      </c>
      <c r="W13" s="104">
        <f>IF(W14=0,0,R8-SUM(W14:W17))</f>
        <v>0</v>
      </c>
      <c r="X13" s="104"/>
      <c r="Y13" s="104"/>
      <c r="Z13" s="104"/>
      <c r="AA13" s="104"/>
      <c r="AB13" s="104"/>
      <c r="AC13" s="104"/>
      <c r="AD13" s="399">
        <v>46328</v>
      </c>
      <c r="AE13" s="400"/>
      <c r="AF13" s="400"/>
      <c r="AG13">
        <f>IF('Ｒ８国保税額試算シート'!F15&gt;0,1,0)</f>
        <v>0</v>
      </c>
      <c r="AH13" s="34">
        <f>IF(AG13=1,0,IF('Ｒ８国保税額試算シート'!I15&gt;0,1,0))</f>
        <v>0</v>
      </c>
      <c r="AJ13" s="34">
        <f>IF(給与所得計算シート!F26&gt;100000,100000,給与所得計算シート!F26)</f>
        <v>0</v>
      </c>
      <c r="AK13" s="34">
        <f>IF(年金所得計算シート!H23&gt;100000,100000,年金所得計算シート!H23)</f>
        <v>0</v>
      </c>
      <c r="AL13" s="34">
        <f t="shared" si="9"/>
        <v>0</v>
      </c>
      <c r="AM13" s="34"/>
      <c r="AN13" s="34"/>
    </row>
    <row r="14" spans="1:40" ht="14.25">
      <c r="A14" s="90">
        <f>'Ｒ８国保税額試算シート'!B17</f>
        <v>0</v>
      </c>
      <c r="B14" s="91">
        <f>'Ｒ８国保税額試算シート'!F17+'Ｒ８国保税額試算シート'!I17+'Ｒ８国保税額試算シート'!K16</f>
        <v>0</v>
      </c>
      <c r="C14" s="91">
        <f t="shared" si="0"/>
        <v>0</v>
      </c>
      <c r="D14" s="91">
        <f t="shared" si="3"/>
        <v>0</v>
      </c>
      <c r="E14" s="91">
        <f t="shared" si="4"/>
        <v>0</v>
      </c>
      <c r="F14" s="91">
        <f t="shared" si="5"/>
        <v>0</v>
      </c>
      <c r="G14" s="91">
        <f t="shared" si="6"/>
        <v>0</v>
      </c>
      <c r="H14" s="91">
        <f t="shared" si="7"/>
        <v>0</v>
      </c>
      <c r="I14" s="91">
        <f t="shared" si="8"/>
        <v>0</v>
      </c>
      <c r="J14" s="92">
        <f>IF(A14=リスト!F$3,1,0)</f>
        <v>0</v>
      </c>
      <c r="K14" s="91">
        <f t="shared" si="1"/>
        <v>0</v>
      </c>
      <c r="L14" s="91">
        <f t="shared" si="10"/>
        <v>0</v>
      </c>
      <c r="M14" s="126">
        <f t="shared" si="11"/>
        <v>0</v>
      </c>
      <c r="N14" s="126">
        <f>IF(ISERROR(VLOOKUP(A14,リスト!$F$2:$F$4,1,FALSE)),0,1)</f>
        <v>0</v>
      </c>
      <c r="O14" s="99">
        <f t="shared" si="2"/>
        <v>0</v>
      </c>
      <c r="P14" s="100">
        <f>IF('Ｒ８国保税額試算シート'!F17+'Ｒ８国保税額試算シート'!K16+年金所得計算シート!J30&lt;0,0,'Ｒ８国保税額試算シート'!F17+'Ｒ８国保税額試算シート'!K16+年金所得計算シート!J30)</f>
        <v>0</v>
      </c>
      <c r="Q14" s="110">
        <f>'Ｒ８国保税額試算シート'!D16</f>
        <v>0</v>
      </c>
      <c r="R14" s="401" t="s">
        <v>92</v>
      </c>
      <c r="S14" s="401"/>
      <c r="T14" s="104" t="e">
        <f>T11</f>
        <v>#N/A</v>
      </c>
      <c r="U14" s="104">
        <f>U12</f>
        <v>0</v>
      </c>
      <c r="V14" s="104">
        <f>V13</f>
        <v>0</v>
      </c>
      <c r="W14" s="104">
        <f>IF(W8=R7,ROUNDDOWN(R8/5,-3),0)</f>
        <v>0</v>
      </c>
      <c r="X14" s="104">
        <f>IF(X15=0,0,R8-SUM(X15:X17))</f>
        <v>0</v>
      </c>
      <c r="Y14" s="104"/>
      <c r="Z14" s="104"/>
      <c r="AA14" s="104"/>
      <c r="AB14" s="104"/>
      <c r="AC14" s="104"/>
      <c r="AD14" s="399">
        <v>46356</v>
      </c>
      <c r="AE14" s="400"/>
      <c r="AF14" s="400"/>
      <c r="AG14">
        <f>IF('Ｒ８国保税額試算シート'!F17&gt;0,1,0)</f>
        <v>0</v>
      </c>
      <c r="AH14" s="34">
        <f>IF(AG14=1,0,IF('Ｒ８国保税額試算シート'!I17&gt;0,1,0))</f>
        <v>0</v>
      </c>
      <c r="AJ14" s="34">
        <f>IF(給与所得計算シート!F34&gt;100000,100000,給与所得計算シート!F34)</f>
        <v>0</v>
      </c>
      <c r="AK14" s="34">
        <f>IF(年金所得計算シート!H30&gt;100000,100000,年金所得計算シート!H30)</f>
        <v>0</v>
      </c>
      <c r="AL14" s="34">
        <f t="shared" si="9"/>
        <v>0</v>
      </c>
      <c r="AM14" s="34"/>
      <c r="AN14" s="34"/>
    </row>
    <row r="15" spans="1:40" ht="14.25">
      <c r="A15" s="90">
        <f>'Ｒ８国保税額試算シート'!B19</f>
        <v>0</v>
      </c>
      <c r="B15" s="91">
        <f>'Ｒ８国保税額試算シート'!F19+'Ｒ８国保税額試算シート'!I19+'Ｒ８国保税額試算シート'!K18</f>
        <v>0</v>
      </c>
      <c r="C15" s="91">
        <f t="shared" si="0"/>
        <v>0</v>
      </c>
      <c r="D15" s="91">
        <f t="shared" si="3"/>
        <v>0</v>
      </c>
      <c r="E15" s="91">
        <f t="shared" si="4"/>
        <v>0</v>
      </c>
      <c r="F15" s="91">
        <f t="shared" si="5"/>
        <v>0</v>
      </c>
      <c r="G15" s="91">
        <f t="shared" si="6"/>
        <v>0</v>
      </c>
      <c r="H15" s="91">
        <f t="shared" si="7"/>
        <v>0</v>
      </c>
      <c r="I15" s="91">
        <f t="shared" si="8"/>
        <v>0</v>
      </c>
      <c r="J15" s="92">
        <f>IF(A15=リスト!F$3,1,0)</f>
        <v>0</v>
      </c>
      <c r="K15" s="91">
        <f t="shared" si="1"/>
        <v>0</v>
      </c>
      <c r="L15" s="91">
        <f t="shared" si="10"/>
        <v>0</v>
      </c>
      <c r="M15" s="126">
        <f t="shared" si="11"/>
        <v>0</v>
      </c>
      <c r="N15" s="126">
        <f>IF(ISERROR(VLOOKUP(A15,リスト!$F$2:$F$4,1,FALSE)),0,1)</f>
        <v>0</v>
      </c>
      <c r="O15" s="99">
        <f t="shared" si="2"/>
        <v>0</v>
      </c>
      <c r="P15" s="100">
        <f>IF('Ｒ８国保税額試算シート'!F19+'Ｒ８国保税額試算シート'!K18+年金所得計算シート!J37&lt;0,0,'Ｒ８国保税額試算シート'!F19+'Ｒ８国保税額試算シート'!K18+年金所得計算シート!J37)</f>
        <v>0</v>
      </c>
      <c r="Q15" s="110">
        <f>'Ｒ８国保税額試算シート'!D18</f>
        <v>0</v>
      </c>
      <c r="R15" s="401" t="s">
        <v>93</v>
      </c>
      <c r="S15" s="401"/>
      <c r="T15" s="104" t="e">
        <f>T11</f>
        <v>#N/A</v>
      </c>
      <c r="U15" s="104">
        <f>U12</f>
        <v>0</v>
      </c>
      <c r="V15" s="104">
        <f>V13</f>
        <v>0</v>
      </c>
      <c r="W15" s="104">
        <f>W14</f>
        <v>0</v>
      </c>
      <c r="X15" s="104">
        <f>IF(X8=R7,ROUNDDOWN(R8/4,-3),0)</f>
        <v>0</v>
      </c>
      <c r="Y15" s="104">
        <f>IF(Y16=0,0,R8-SUM(Y16:Y17))</f>
        <v>0</v>
      </c>
      <c r="Z15" s="104"/>
      <c r="AA15" s="104"/>
      <c r="AB15" s="104"/>
      <c r="AC15" s="104"/>
      <c r="AD15" s="399">
        <v>46381</v>
      </c>
      <c r="AE15" s="400"/>
      <c r="AF15" s="400"/>
      <c r="AG15">
        <f>IF('Ｒ８国保税額試算シート'!F19&gt;0,1,0)</f>
        <v>0</v>
      </c>
      <c r="AH15" s="34">
        <f>IF(AG15=1,0,IF('Ｒ８国保税額試算シート'!I19&gt;0,1,0))</f>
        <v>0</v>
      </c>
      <c r="AJ15" s="34">
        <f>IF(給与所得計算シート!F42&gt;100000,100000,給与所得計算シート!F42)</f>
        <v>0</v>
      </c>
      <c r="AK15" s="34">
        <f>IF(年金所得計算シート!H37&gt;100000,100000,年金所得計算シート!H37)</f>
        <v>0</v>
      </c>
      <c r="AL15" s="34">
        <f t="shared" si="9"/>
        <v>0</v>
      </c>
      <c r="AM15" s="34"/>
      <c r="AN15" s="34"/>
    </row>
    <row r="16" spans="1:40" ht="15" thickBot="1">
      <c r="A16" s="93">
        <f>'Ｒ８国保税額試算シート'!B21</f>
        <v>0</v>
      </c>
      <c r="B16" s="94">
        <f>'Ｒ８国保税額試算シート'!F21+'Ｒ８国保税額試算シート'!I21+'Ｒ８国保税額試算シート'!K20</f>
        <v>0</v>
      </c>
      <c r="C16" s="94">
        <f t="shared" si="0"/>
        <v>0</v>
      </c>
      <c r="D16" s="94">
        <f t="shared" si="3"/>
        <v>0</v>
      </c>
      <c r="E16" s="94">
        <f t="shared" si="4"/>
        <v>0</v>
      </c>
      <c r="F16" s="94">
        <f t="shared" si="5"/>
        <v>0</v>
      </c>
      <c r="G16" s="94">
        <f t="shared" si="6"/>
        <v>0</v>
      </c>
      <c r="H16" s="94">
        <f t="shared" si="7"/>
        <v>0</v>
      </c>
      <c r="I16" s="94">
        <f t="shared" si="8"/>
        <v>0</v>
      </c>
      <c r="J16" s="92">
        <f>IF(A16=リスト!F$3,1,0)</f>
        <v>0</v>
      </c>
      <c r="K16" s="91">
        <f t="shared" si="1"/>
        <v>0</v>
      </c>
      <c r="L16" s="91">
        <f t="shared" si="10"/>
        <v>0</v>
      </c>
      <c r="M16" s="126">
        <f t="shared" si="11"/>
        <v>0</v>
      </c>
      <c r="N16" s="126">
        <f>IF(ISERROR(VLOOKUP(A16,リスト!$F$2:$F$4,1,FALSE)),0,1)</f>
        <v>0</v>
      </c>
      <c r="O16" s="99">
        <f t="shared" si="2"/>
        <v>0</v>
      </c>
      <c r="P16" s="100">
        <f>IF('Ｒ８国保税額試算シート'!F21+'Ｒ８国保税額試算シート'!K21+年金所得計算シート!J44&lt;0,0,'Ｒ８国保税額試算シート'!F21+'Ｒ８国保税額試算シート'!K21+年金所得計算シート!J44)</f>
        <v>0</v>
      </c>
      <c r="Q16" s="110">
        <f>'Ｒ８国保税額試算シート'!D20</f>
        <v>0</v>
      </c>
      <c r="R16" s="401" t="s">
        <v>94</v>
      </c>
      <c r="S16" s="401"/>
      <c r="T16" s="104" t="e">
        <f>T11</f>
        <v>#N/A</v>
      </c>
      <c r="U16" s="104">
        <f>U12</f>
        <v>0</v>
      </c>
      <c r="V16" s="104">
        <f>V13</f>
        <v>0</v>
      </c>
      <c r="W16" s="104">
        <f>W14</f>
        <v>0</v>
      </c>
      <c r="X16" s="104">
        <f>X15</f>
        <v>0</v>
      </c>
      <c r="Y16" s="104">
        <f>IF(Y8=R7,ROUNDDOWN(R8/3,-3),0)</f>
        <v>0</v>
      </c>
      <c r="Z16" s="104">
        <f>IF(Z17=0,0,R8-Z17)</f>
        <v>0</v>
      </c>
      <c r="AA16" s="104"/>
      <c r="AB16" s="104"/>
      <c r="AC16" s="104"/>
      <c r="AD16" s="399">
        <v>46419</v>
      </c>
      <c r="AE16" s="400"/>
      <c r="AF16" s="400"/>
      <c r="AG16">
        <f>IF('Ｒ８国保税額試算シート'!F21&gt;0,1,0)</f>
        <v>0</v>
      </c>
      <c r="AH16" s="34">
        <f>IF(AG16=1,0,IF('Ｒ８国保税額試算シート'!I21&gt;0,1,0))</f>
        <v>0</v>
      </c>
      <c r="AI16" s="114"/>
      <c r="AJ16" s="34">
        <f>IF(給与所得計算シート!F50&gt;100000,100000,給与所得計算シート!F50)</f>
        <v>0</v>
      </c>
      <c r="AK16" s="34">
        <f>IF(年金所得計算シート!H44&gt;100000,100000,年金所得計算シート!H44)</f>
        <v>0</v>
      </c>
      <c r="AL16" s="34">
        <f t="shared" si="9"/>
        <v>0</v>
      </c>
      <c r="AM16" s="114"/>
      <c r="AN16" s="34"/>
    </row>
    <row r="17" spans="1:40" ht="15" thickBot="1">
      <c r="A17" s="95"/>
      <c r="B17" s="96">
        <f>SUM(B10:B16)</f>
        <v>0</v>
      </c>
      <c r="C17" s="97"/>
      <c r="D17" s="96">
        <f t="shared" ref="D17:O17" si="12">SUM(D10:D16)</f>
        <v>0</v>
      </c>
      <c r="E17" s="96">
        <f t="shared" si="12"/>
        <v>0</v>
      </c>
      <c r="F17" s="96">
        <f t="shared" si="12"/>
        <v>0</v>
      </c>
      <c r="G17" s="96">
        <f t="shared" si="12"/>
        <v>0</v>
      </c>
      <c r="H17" s="96">
        <f t="shared" si="12"/>
        <v>0</v>
      </c>
      <c r="I17" s="96">
        <f t="shared" si="12"/>
        <v>0</v>
      </c>
      <c r="J17" s="98">
        <f t="shared" si="12"/>
        <v>0</v>
      </c>
      <c r="K17" s="96">
        <f>SUM(K10:K16)</f>
        <v>0</v>
      </c>
      <c r="L17" s="136">
        <f>SUM(L10:L16)</f>
        <v>0</v>
      </c>
      <c r="M17" s="126">
        <f>SUM(M10:M16)</f>
        <v>1</v>
      </c>
      <c r="N17" s="126"/>
      <c r="O17" s="99">
        <f t="shared" si="12"/>
        <v>0</v>
      </c>
      <c r="P17" s="100">
        <f>SUM(P10:P16)</f>
        <v>0</v>
      </c>
      <c r="Q17" s="102">
        <f>COUNTIF(Q10:Q16,リスト!H12)</f>
        <v>0</v>
      </c>
      <c r="R17" s="401" t="s">
        <v>95</v>
      </c>
      <c r="S17" s="401"/>
      <c r="T17" s="104" t="e">
        <f>T11</f>
        <v>#N/A</v>
      </c>
      <c r="U17" s="104">
        <f>U12</f>
        <v>0</v>
      </c>
      <c r="V17" s="104">
        <f>V13</f>
        <v>0</v>
      </c>
      <c r="W17" s="104">
        <f>W14</f>
        <v>0</v>
      </c>
      <c r="X17" s="104">
        <f>X15</f>
        <v>0</v>
      </c>
      <c r="Y17" s="104">
        <f>Y16</f>
        <v>0</v>
      </c>
      <c r="Z17" s="104">
        <f>IF(Z8=R7,ROUNDDOWN(R8/2,-3),0)</f>
        <v>0</v>
      </c>
      <c r="AA17" s="104">
        <f>IF(AA8=R7,R8,0)</f>
        <v>0</v>
      </c>
      <c r="AB17" s="104"/>
      <c r="AC17" s="104"/>
      <c r="AD17" s="399">
        <v>46447</v>
      </c>
      <c r="AE17" s="400"/>
      <c r="AF17" s="400"/>
      <c r="AG17"/>
      <c r="AI17" s="116">
        <f>SUM(AG10:AH16)</f>
        <v>0</v>
      </c>
      <c r="AM17" s="116"/>
      <c r="AN17" s="34"/>
    </row>
    <row r="18" spans="1:40" ht="14.25">
      <c r="C18" s="49" t="s">
        <v>127</v>
      </c>
      <c r="R18" s="401" t="s">
        <v>96</v>
      </c>
      <c r="S18" s="401"/>
      <c r="T18" s="104"/>
      <c r="U18" s="104"/>
      <c r="V18" s="104"/>
      <c r="W18" s="104"/>
      <c r="X18" s="104"/>
      <c r="Y18" s="104"/>
      <c r="Z18" s="104"/>
      <c r="AA18" s="104"/>
      <c r="AB18" s="104">
        <f>IF(AB8=R7,R8,0)</f>
        <v>0</v>
      </c>
      <c r="AC18" s="104">
        <f>IF(AC8=R7,R8,0)</f>
        <v>0</v>
      </c>
      <c r="AD18" s="410"/>
      <c r="AE18" s="411"/>
      <c r="AF18" s="411"/>
      <c r="AG18"/>
      <c r="AH18" s="115"/>
      <c r="AI18" s="116"/>
      <c r="AJ18" s="116"/>
      <c r="AK18" s="116"/>
      <c r="AL18" s="116"/>
      <c r="AM18" s="116"/>
      <c r="AN18" s="34"/>
    </row>
    <row r="19" spans="1:40">
      <c r="R19" s="409"/>
      <c r="S19" s="409"/>
      <c r="AF19"/>
      <c r="AG19"/>
      <c r="AH19" s="115"/>
      <c r="AI19" s="116"/>
      <c r="AJ19" s="116"/>
      <c r="AK19" s="116"/>
      <c r="AL19" s="116"/>
      <c r="AM19" s="116"/>
      <c r="AN19" s="34"/>
    </row>
    <row r="20" spans="1:40" ht="13.5" customHeight="1">
      <c r="A20" s="50" t="s">
        <v>69</v>
      </c>
      <c r="B20" s="51" t="s">
        <v>145</v>
      </c>
      <c r="K20" s="138" t="s">
        <v>170</v>
      </c>
      <c r="AF20"/>
      <c r="AG20"/>
      <c r="AH20" s="115"/>
      <c r="AI20" s="116"/>
      <c r="AJ20" s="116"/>
      <c r="AK20" s="116"/>
      <c r="AL20" s="116"/>
      <c r="AM20" s="116"/>
      <c r="AN20" s="34"/>
    </row>
    <row r="21" spans="1:40">
      <c r="B21" s="51" t="s">
        <v>146</v>
      </c>
      <c r="C21" s="101">
        <f>IF('Ｒ８国保税額試算シート'!R12=0,0,IF(AI17&lt;2,IF(P17&lt;=(430000),"7割軽減",IF(P17&lt;=(430000)+('Ｒ８国保税額試算シート'!R12*310000),"5割軽減",IF(P17&lt;=(430000)+'Ｒ８国保税額試算シート'!R12*570000,"2割軽減","非該当")))))</f>
        <v>0</v>
      </c>
      <c r="D21" t="s">
        <v>70</v>
      </c>
      <c r="AF21"/>
      <c r="AG21"/>
      <c r="AM21" s="34"/>
      <c r="AN21" s="34"/>
    </row>
    <row r="22" spans="1:40">
      <c r="B22" s="51" t="s">
        <v>147</v>
      </c>
      <c r="C22" s="101">
        <f>IF('Ｒ８国保税額試算シート'!R12=0,0,IF(AI17&gt;=2,IF(P17&lt;=(430000+100000*(AI17-1)),"7割軽減",IF(P17&lt;=(430000+100000*(AI17-1))+('Ｒ８国保税額試算シート'!R12*310000),"5割軽減",IF(P17&lt;=(430000+100000*(AI17-1))+'Ｒ８国保税額試算シート'!R12*570000,"2割軽減","非該当")))))</f>
        <v>0</v>
      </c>
      <c r="D22" t="s">
        <v>70</v>
      </c>
      <c r="AF22"/>
      <c r="AG22"/>
      <c r="AM22" s="34"/>
      <c r="AN22" s="34"/>
    </row>
    <row r="23" spans="1:40">
      <c r="AF23"/>
      <c r="AG23"/>
      <c r="AM23" s="34"/>
      <c r="AN23" s="34"/>
    </row>
    <row r="24" spans="1:40">
      <c r="D24" s="51"/>
      <c r="E24" s="377"/>
      <c r="F24" s="378"/>
      <c r="G24" s="56"/>
      <c r="H24" s="56"/>
      <c r="AF24"/>
      <c r="AG24"/>
      <c r="AM24" s="34"/>
      <c r="AN24" s="34"/>
    </row>
    <row r="25" spans="1:40">
      <c r="AF25"/>
      <c r="AG25"/>
      <c r="AM25" s="34"/>
      <c r="AN25" s="34"/>
    </row>
    <row r="26" spans="1:40">
      <c r="AF26"/>
      <c r="AG26"/>
      <c r="AM26" s="34"/>
      <c r="AN26" s="34"/>
    </row>
    <row r="27" spans="1:40">
      <c r="AF27"/>
      <c r="AG27"/>
      <c r="AM27" s="34"/>
      <c r="AN27" s="34"/>
    </row>
    <row r="28" spans="1:40">
      <c r="AF28"/>
      <c r="AG28"/>
      <c r="AM28" s="34"/>
      <c r="AN28" s="34"/>
    </row>
    <row r="29" spans="1:40">
      <c r="AF29"/>
      <c r="AM29" s="34"/>
    </row>
    <row r="30" spans="1:40">
      <c r="AF30"/>
      <c r="AM30" s="34"/>
    </row>
    <row r="31" spans="1:40">
      <c r="AF31"/>
      <c r="AM31" s="34"/>
    </row>
    <row r="32" spans="1:40">
      <c r="AF32"/>
      <c r="AM32" s="34"/>
    </row>
    <row r="33" spans="32:39">
      <c r="AF33"/>
      <c r="AM33" s="34"/>
    </row>
    <row r="34" spans="32:39">
      <c r="AF34"/>
      <c r="AM34" s="34"/>
    </row>
    <row r="35" spans="32:39">
      <c r="AF35"/>
      <c r="AM35" s="34"/>
    </row>
    <row r="36" spans="32:39">
      <c r="AF36"/>
      <c r="AM36" s="34"/>
    </row>
  </sheetData>
  <mergeCells count="37">
    <mergeCell ref="K4:L4"/>
    <mergeCell ref="K8:L8"/>
    <mergeCell ref="R19:S19"/>
    <mergeCell ref="R14:S14"/>
    <mergeCell ref="AD14:AF14"/>
    <mergeCell ref="R15:S15"/>
    <mergeCell ref="R16:S16"/>
    <mergeCell ref="R17:S17"/>
    <mergeCell ref="AD15:AF15"/>
    <mergeCell ref="AD16:AF16"/>
    <mergeCell ref="AD17:AF17"/>
    <mergeCell ref="AD18:AF18"/>
    <mergeCell ref="R18:S18"/>
    <mergeCell ref="R11:S11"/>
    <mergeCell ref="AD11:AF11"/>
    <mergeCell ref="R12:S12"/>
    <mergeCell ref="AD12:AF12"/>
    <mergeCell ref="R13:S13"/>
    <mergeCell ref="AD13:AF13"/>
    <mergeCell ref="P8:P9"/>
    <mergeCell ref="R9:S9"/>
    <mergeCell ref="AD9:AF9"/>
    <mergeCell ref="R10:S10"/>
    <mergeCell ref="AD10:AF10"/>
    <mergeCell ref="R8:S8"/>
    <mergeCell ref="Q8:Q9"/>
    <mergeCell ref="E24:F24"/>
    <mergeCell ref="A4:B6"/>
    <mergeCell ref="C4:F4"/>
    <mergeCell ref="G4:H4"/>
    <mergeCell ref="I4:J4"/>
    <mergeCell ref="A8:A9"/>
    <mergeCell ref="B8:B9"/>
    <mergeCell ref="C8:C9"/>
    <mergeCell ref="D8:E8"/>
    <mergeCell ref="F8:G8"/>
    <mergeCell ref="H8:I8"/>
  </mergeCells>
  <phoneticPr fontId="19"/>
  <pageMargins left="0.7" right="0.7" top="0.75" bottom="0.75" header="0.3" footer="0.3"/>
  <pageSetup paperSize="9" scale="76" orientation="landscape" r:id="rId1"/>
  <colBreaks count="1" manualBreakCount="1">
    <brk id="15" max="23"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48"/>
  <sheetViews>
    <sheetView zoomScale="85" zoomScaleNormal="85" workbookViewId="0">
      <selection activeCell="E24" sqref="E24:F24"/>
    </sheetView>
  </sheetViews>
  <sheetFormatPr defaultRowHeight="13.5"/>
  <cols>
    <col min="1" max="1" width="10.25" style="23" bestFit="1" customWidth="1"/>
    <col min="2" max="3" width="11.625" style="23" bestFit="1" customWidth="1"/>
    <col min="4" max="4" width="1.75" style="23" customWidth="1"/>
    <col min="5" max="5" width="10.25" style="23" bestFit="1" customWidth="1"/>
    <col min="6" max="6" width="10.5" style="23" bestFit="1" customWidth="1"/>
    <col min="7" max="7" width="11.625" style="23" bestFit="1" customWidth="1"/>
    <col min="8" max="10" width="9.5" style="23" bestFit="1" customWidth="1"/>
  </cols>
  <sheetData>
    <row r="1" spans="1:10" ht="27">
      <c r="A1" s="23" t="s">
        <v>4</v>
      </c>
      <c r="B1" s="23" t="s">
        <v>2</v>
      </c>
      <c r="C1" s="23" t="s">
        <v>3</v>
      </c>
      <c r="E1" s="23" t="s">
        <v>5</v>
      </c>
      <c r="F1" s="23" t="s">
        <v>2</v>
      </c>
      <c r="G1" s="23" t="s">
        <v>3</v>
      </c>
      <c r="H1" s="23" t="s">
        <v>50</v>
      </c>
      <c r="I1" s="31" t="s">
        <v>51</v>
      </c>
      <c r="J1" s="31" t="s">
        <v>51</v>
      </c>
    </row>
    <row r="2" spans="1:10">
      <c r="A2" s="26">
        <f>IF(OR('Ｒ８国保税額試算シート'!B9=リスト!E4,'Ｒ８国保税額試算シート'!B9=リスト!E5),0,'Ｒ８国保税額試算シート'!I8)</f>
        <v>0</v>
      </c>
      <c r="B2" s="23">
        <v>0</v>
      </c>
      <c r="C2" s="23">
        <v>0</v>
      </c>
      <c r="E2" s="26">
        <f>IF(OR('Ｒ８国保税額試算シート'!B9=リスト!E4,'Ｒ８国保税額試算シート'!B9=リスト!E5),'Ｒ８国保税額試算シート'!I8,0)</f>
        <v>0</v>
      </c>
      <c r="F2" s="23">
        <v>0</v>
      </c>
      <c r="G2" s="23">
        <v>0</v>
      </c>
      <c r="H2" s="26">
        <f>IF(OR('Ｒ８国保税額試算シート'!B9=リスト!E4,'Ｒ８国保税額試算シート'!B9=リスト!E5),VLOOKUP(年金所得計算シート!E2,年金所得計算シート!F2:G6,2,TRUE),VLOOKUP(年金所得計算シート!A2,年金所得計算シート!B2:C6,2,TRUE))</f>
        <v>0</v>
      </c>
      <c r="I2" s="26">
        <f>IF(E2&gt;0,H2-150000,H2)</f>
        <v>0</v>
      </c>
      <c r="J2" s="26">
        <f>IF(I2&lt;0,0,I2)</f>
        <v>0</v>
      </c>
    </row>
    <row r="3" spans="1:10">
      <c r="A3" s="25"/>
      <c r="B3" s="1">
        <v>701000</v>
      </c>
      <c r="C3" s="1">
        <f>A2-600000</f>
        <v>-600000</v>
      </c>
      <c r="E3" s="25"/>
      <c r="F3" s="1">
        <v>1101000</v>
      </c>
      <c r="G3" s="1">
        <f>E2-1100000</f>
        <v>-1100000</v>
      </c>
    </row>
    <row r="4" spans="1:10">
      <c r="B4" s="2">
        <v>1300000</v>
      </c>
      <c r="C4" s="2">
        <f>A2*0.75-275000</f>
        <v>-275000</v>
      </c>
      <c r="F4" s="2">
        <v>3300000</v>
      </c>
      <c r="G4" s="2">
        <f>ROUNDDOWN(E2*0.75-275000,0)</f>
        <v>-275000</v>
      </c>
    </row>
    <row r="5" spans="1:10">
      <c r="B5" s="1">
        <v>4100000</v>
      </c>
      <c r="C5" s="1">
        <f>A2*0.85-685000</f>
        <v>-685000</v>
      </c>
      <c r="F5" s="1">
        <v>4100000</v>
      </c>
      <c r="G5" s="1">
        <f>ROUNDDOWN(E2*0.85-685000,0)</f>
        <v>-685000</v>
      </c>
    </row>
    <row r="6" spans="1:10">
      <c r="B6" s="1">
        <v>7700000</v>
      </c>
      <c r="C6" s="1">
        <f>A2*0.95-1455000</f>
        <v>-1455000</v>
      </c>
      <c r="F6" s="1">
        <v>7700000</v>
      </c>
      <c r="G6" s="1">
        <f>ROUNDDOWN(E2*0.95-1455000,0)</f>
        <v>-1455000</v>
      </c>
    </row>
    <row r="8" spans="1:10">
      <c r="A8" s="23" t="s">
        <v>4</v>
      </c>
      <c r="B8" s="23" t="s">
        <v>2</v>
      </c>
      <c r="C8" s="23" t="s">
        <v>3</v>
      </c>
      <c r="E8" s="23" t="s">
        <v>5</v>
      </c>
      <c r="F8" s="23" t="s">
        <v>2</v>
      </c>
      <c r="G8" s="23" t="s">
        <v>3</v>
      </c>
    </row>
    <row r="9" spans="1:10">
      <c r="A9" s="26">
        <f>IF('Ｒ８国保税額試算シート'!B11=リスト!F4,0,'Ｒ８国保税額試算シート'!I10)</f>
        <v>0</v>
      </c>
      <c r="B9" s="23">
        <v>0</v>
      </c>
      <c r="C9" s="23">
        <v>0</v>
      </c>
      <c r="E9" s="26">
        <f>IF('Ｒ８国保税額試算シート'!B11=リスト!F4,'Ｒ８国保税額試算シート'!I10,0)</f>
        <v>0</v>
      </c>
      <c r="F9" s="23">
        <v>0</v>
      </c>
      <c r="G9" s="23">
        <v>0</v>
      </c>
      <c r="H9" s="26">
        <f>IF('Ｒ８国保税額試算シート'!B11=リスト!F4,VLOOKUP(年金所得計算シート!E9,年金所得計算シート!F9:G13,2,TRUE),VLOOKUP(年金所得計算シート!A9,年金所得計算シート!B9:C13,2,TRUE))</f>
        <v>0</v>
      </c>
      <c r="I9" s="26">
        <f>IF(E9&gt;0,H9-150000,H9)</f>
        <v>0</v>
      </c>
      <c r="J9" s="26">
        <f>IF(I9&lt;0,0,I9)</f>
        <v>0</v>
      </c>
    </row>
    <row r="10" spans="1:10">
      <c r="A10" s="25"/>
      <c r="B10" s="1">
        <v>701000</v>
      </c>
      <c r="C10" s="1">
        <f>A9-600000</f>
        <v>-600000</v>
      </c>
      <c r="E10" s="25"/>
      <c r="F10" s="1">
        <v>1101000</v>
      </c>
      <c r="G10" s="1">
        <f>E9-1100000</f>
        <v>-1100000</v>
      </c>
    </row>
    <row r="11" spans="1:10">
      <c r="B11" s="2">
        <v>1300000</v>
      </c>
      <c r="C11" s="2">
        <f>A9*0.75-275000</f>
        <v>-275000</v>
      </c>
      <c r="F11" s="2">
        <v>3300000</v>
      </c>
      <c r="G11" s="2">
        <f>ROUNDDOWN(E9*0.75-275000,0)</f>
        <v>-275000</v>
      </c>
    </row>
    <row r="12" spans="1:10">
      <c r="B12" s="1">
        <v>4100000</v>
      </c>
      <c r="C12" s="1">
        <f>A9*0.85-685000</f>
        <v>-685000</v>
      </c>
      <c r="F12" s="1">
        <v>4100000</v>
      </c>
      <c r="G12" s="1">
        <f>ROUNDDOWN(E9*0.85-685000,0)</f>
        <v>-685000</v>
      </c>
    </row>
    <row r="13" spans="1:10">
      <c r="B13" s="1">
        <v>7700000</v>
      </c>
      <c r="C13" s="1">
        <f>A9*0.95-1455000</f>
        <v>-1455000</v>
      </c>
      <c r="F13" s="1">
        <v>7700000</v>
      </c>
      <c r="G13" s="1">
        <f>ROUNDDOWN(E9*0.95-1455000,0)</f>
        <v>-1455000</v>
      </c>
    </row>
    <row r="15" spans="1:10">
      <c r="A15" s="23" t="s">
        <v>4</v>
      </c>
      <c r="B15" s="23" t="s">
        <v>2</v>
      </c>
      <c r="C15" s="23" t="s">
        <v>3</v>
      </c>
      <c r="E15" s="23" t="s">
        <v>5</v>
      </c>
      <c r="F15" s="23" t="s">
        <v>2</v>
      </c>
      <c r="G15" s="23" t="s">
        <v>3</v>
      </c>
    </row>
    <row r="16" spans="1:10">
      <c r="A16" s="26">
        <f>IF('Ｒ８国保税額試算シート'!B13=リスト!F4,0,'Ｒ８国保税額試算シート'!I12)</f>
        <v>0</v>
      </c>
      <c r="B16" s="23">
        <v>0</v>
      </c>
      <c r="C16" s="23">
        <v>0</v>
      </c>
      <c r="E16" s="26">
        <f>IF('Ｒ８国保税額試算シート'!B13=リスト!F4,'Ｒ８国保税額試算シート'!I12,0)</f>
        <v>0</v>
      </c>
      <c r="F16" s="23">
        <v>0</v>
      </c>
      <c r="G16" s="23">
        <v>0</v>
      </c>
      <c r="H16" s="26">
        <f>IF('Ｒ８国保税額試算シート'!B13=リスト!F4,VLOOKUP(年金所得計算シート!E16,年金所得計算シート!F16:G20,2,TRUE),VLOOKUP(年金所得計算シート!A16,年金所得計算シート!B16:C20,2,TRUE))</f>
        <v>0</v>
      </c>
      <c r="I16" s="26">
        <f>IF(E16&gt;0,H16-150000,H16)</f>
        <v>0</v>
      </c>
      <c r="J16" s="26">
        <f>IF(I16&lt;0,0,I16)</f>
        <v>0</v>
      </c>
    </row>
    <row r="17" spans="1:10">
      <c r="A17" s="25"/>
      <c r="B17" s="1">
        <v>701000</v>
      </c>
      <c r="C17" s="1">
        <f>A16-600000</f>
        <v>-600000</v>
      </c>
      <c r="E17" s="25"/>
      <c r="F17" s="1">
        <v>1101000</v>
      </c>
      <c r="G17" s="1">
        <f>E16-1100000</f>
        <v>-1100000</v>
      </c>
    </row>
    <row r="18" spans="1:10">
      <c r="B18" s="2">
        <v>1300000</v>
      </c>
      <c r="C18" s="2">
        <f>A16*0.75-275000</f>
        <v>-275000</v>
      </c>
      <c r="F18" s="2">
        <v>3300000</v>
      </c>
      <c r="G18" s="2">
        <f>ROUNDDOWN(E16*0.75-275000,0)</f>
        <v>-275000</v>
      </c>
    </row>
    <row r="19" spans="1:10">
      <c r="B19" s="1">
        <v>4100000</v>
      </c>
      <c r="C19" s="1">
        <f>A16*0.85-685000</f>
        <v>-685000</v>
      </c>
      <c r="F19" s="1">
        <v>4100000</v>
      </c>
      <c r="G19" s="1">
        <f>ROUNDDOWN(E16*0.85-685000,0)</f>
        <v>-685000</v>
      </c>
    </row>
    <row r="20" spans="1:10">
      <c r="B20" s="1">
        <v>7700000</v>
      </c>
      <c r="C20" s="1">
        <f>A16*0.95-1455000</f>
        <v>-1455000</v>
      </c>
      <c r="F20" s="1">
        <v>7700000</v>
      </c>
      <c r="G20" s="1">
        <f>ROUNDDOWN(E16*0.95-1455000,0)</f>
        <v>-1455000</v>
      </c>
    </row>
    <row r="22" spans="1:10">
      <c r="A22" s="23" t="s">
        <v>4</v>
      </c>
      <c r="B22" s="23" t="s">
        <v>2</v>
      </c>
      <c r="C22" s="23" t="s">
        <v>3</v>
      </c>
      <c r="E22" s="23" t="s">
        <v>5</v>
      </c>
      <c r="F22" s="23" t="s">
        <v>2</v>
      </c>
      <c r="G22" s="23" t="s">
        <v>3</v>
      </c>
    </row>
    <row r="23" spans="1:10">
      <c r="A23" s="26">
        <f>IF('Ｒ８国保税額試算シート'!B15=リスト!F4,0,'Ｒ８国保税額試算シート'!I14)</f>
        <v>0</v>
      </c>
      <c r="B23" s="23">
        <v>0</v>
      </c>
      <c r="C23" s="23">
        <v>0</v>
      </c>
      <c r="E23" s="26">
        <f>IF('Ｒ８国保税額試算シート'!B15=リスト!F4,'Ｒ８国保税額試算シート'!I14,0)</f>
        <v>0</v>
      </c>
      <c r="F23" s="23">
        <v>0</v>
      </c>
      <c r="G23" s="23">
        <v>0</v>
      </c>
      <c r="H23" s="26">
        <f>IF('Ｒ８国保税額試算シート'!B15=リスト!F4,VLOOKUP(年金所得計算シート!E23,年金所得計算シート!F23:G27,2,TRUE),VLOOKUP(年金所得計算シート!A23,年金所得計算シート!B23:C27,2,TRUE))</f>
        <v>0</v>
      </c>
      <c r="I23" s="26">
        <f>IF(E23&gt;0,H23-150000,H23)</f>
        <v>0</v>
      </c>
      <c r="J23" s="26">
        <f>IF(I23&lt;0,0,I23)</f>
        <v>0</v>
      </c>
    </row>
    <row r="24" spans="1:10">
      <c r="A24" s="25"/>
      <c r="B24" s="1">
        <v>701000</v>
      </c>
      <c r="C24" s="1">
        <f>A23-600000</f>
        <v>-600000</v>
      </c>
      <c r="E24" s="25"/>
      <c r="F24" s="1">
        <v>1101000</v>
      </c>
      <c r="G24" s="1">
        <f>E23-1100000</f>
        <v>-1100000</v>
      </c>
    </row>
    <row r="25" spans="1:10">
      <c r="B25" s="2">
        <v>1300000</v>
      </c>
      <c r="C25" s="2">
        <f>A23*0.75-275000</f>
        <v>-275000</v>
      </c>
      <c r="F25" s="2">
        <v>3300000</v>
      </c>
      <c r="G25" s="2">
        <f>ROUNDDOWN(E23*0.75-275000,0)</f>
        <v>-275000</v>
      </c>
    </row>
    <row r="26" spans="1:10">
      <c r="B26" s="1">
        <v>4100000</v>
      </c>
      <c r="C26" s="1">
        <f>A23*0.85-685000</f>
        <v>-685000</v>
      </c>
      <c r="F26" s="1">
        <v>4100000</v>
      </c>
      <c r="G26" s="1">
        <f>ROUNDDOWN(E23*0.85-685000,0)</f>
        <v>-685000</v>
      </c>
    </row>
    <row r="27" spans="1:10">
      <c r="B27" s="1">
        <v>7700000</v>
      </c>
      <c r="C27" s="1">
        <f>A23*0.95-1455000</f>
        <v>-1455000</v>
      </c>
      <c r="F27" s="1">
        <v>7700000</v>
      </c>
      <c r="G27" s="1">
        <f>ROUNDDOWN(E23*0.95-1455000,0)</f>
        <v>-1455000</v>
      </c>
    </row>
    <row r="29" spans="1:10">
      <c r="A29" s="23" t="s">
        <v>4</v>
      </c>
      <c r="B29" s="23" t="s">
        <v>2</v>
      </c>
      <c r="C29" s="23" t="s">
        <v>3</v>
      </c>
      <c r="E29" s="23" t="s">
        <v>5</v>
      </c>
      <c r="F29" s="23" t="s">
        <v>2</v>
      </c>
      <c r="G29" s="23" t="s">
        <v>3</v>
      </c>
    </row>
    <row r="30" spans="1:10">
      <c r="A30" s="26">
        <f>IF('Ｒ８国保税額試算シート'!B17=リスト!F4,0,'Ｒ８国保税額試算シート'!I16)</f>
        <v>0</v>
      </c>
      <c r="B30" s="23">
        <v>0</v>
      </c>
      <c r="C30" s="23">
        <v>0</v>
      </c>
      <c r="E30" s="26">
        <f>IF('Ｒ８国保税額試算シート'!B17=リスト!F4,'Ｒ８国保税額試算シート'!I16,0)</f>
        <v>0</v>
      </c>
      <c r="F30" s="23">
        <v>0</v>
      </c>
      <c r="G30" s="23">
        <v>0</v>
      </c>
      <c r="H30" s="26">
        <f>IF('Ｒ８国保税額試算シート'!B17=リスト!F4,VLOOKUP(年金所得計算シート!E30,年金所得計算シート!F30:G34,2,TRUE),VLOOKUP(年金所得計算シート!A30,年金所得計算シート!B30:C34,2,TRUE))</f>
        <v>0</v>
      </c>
      <c r="I30" s="26">
        <f>IF(E30&gt;0,H30-150000,H30)</f>
        <v>0</v>
      </c>
      <c r="J30" s="26">
        <f>IF(I30&lt;0,0,I30)</f>
        <v>0</v>
      </c>
    </row>
    <row r="31" spans="1:10">
      <c r="A31" s="25"/>
      <c r="B31" s="1">
        <v>701000</v>
      </c>
      <c r="C31" s="1">
        <f>A30-600000</f>
        <v>-600000</v>
      </c>
      <c r="E31" s="25"/>
      <c r="F31" s="1">
        <v>1101000</v>
      </c>
      <c r="G31" s="1">
        <f>E30-1100000</f>
        <v>-1100000</v>
      </c>
    </row>
    <row r="32" spans="1:10">
      <c r="B32" s="2">
        <v>1300000</v>
      </c>
      <c r="C32" s="2">
        <f>A30*0.75-275000</f>
        <v>-275000</v>
      </c>
      <c r="F32" s="2">
        <v>3300000</v>
      </c>
      <c r="G32" s="2">
        <f>ROUNDDOWN(E30*0.75-275000,0)</f>
        <v>-275000</v>
      </c>
    </row>
    <row r="33" spans="1:10">
      <c r="B33" s="1">
        <v>4100000</v>
      </c>
      <c r="C33" s="1">
        <f>A30*0.85-685000</f>
        <v>-685000</v>
      </c>
      <c r="F33" s="1">
        <v>4100000</v>
      </c>
      <c r="G33" s="1">
        <f>ROUNDDOWN(E30*0.85-685000,0)</f>
        <v>-685000</v>
      </c>
    </row>
    <row r="34" spans="1:10">
      <c r="B34" s="1">
        <v>7700000</v>
      </c>
      <c r="C34" s="1">
        <f>A30*0.95-1455000</f>
        <v>-1455000</v>
      </c>
      <c r="F34" s="1">
        <v>7700000</v>
      </c>
      <c r="G34" s="1">
        <f>ROUNDDOWN(E30*0.95-1455000,0)</f>
        <v>-1455000</v>
      </c>
    </row>
    <row r="36" spans="1:10">
      <c r="A36" s="23" t="s">
        <v>4</v>
      </c>
      <c r="B36" s="23" t="s">
        <v>2</v>
      </c>
      <c r="C36" s="23" t="s">
        <v>3</v>
      </c>
      <c r="E36" s="23" t="s">
        <v>5</v>
      </c>
      <c r="F36" s="23" t="s">
        <v>2</v>
      </c>
      <c r="G36" s="23" t="s">
        <v>3</v>
      </c>
    </row>
    <row r="37" spans="1:10">
      <c r="A37" s="26">
        <f>IF('Ｒ８国保税額試算シート'!B19=リスト!F4,0,'Ｒ８国保税額試算シート'!I18)</f>
        <v>0</v>
      </c>
      <c r="B37" s="23">
        <v>0</v>
      </c>
      <c r="C37" s="23">
        <v>0</v>
      </c>
      <c r="E37" s="26">
        <f>IF('Ｒ８国保税額試算シート'!B19=リスト!F4,'Ｒ８国保税額試算シート'!I18,0)</f>
        <v>0</v>
      </c>
      <c r="F37" s="23">
        <v>0</v>
      </c>
      <c r="G37" s="23">
        <v>0</v>
      </c>
      <c r="H37" s="26">
        <f>IF('Ｒ８国保税額試算シート'!B19=リスト!F4,VLOOKUP(年金所得計算シート!E37,年金所得計算シート!F37:G41,2,TRUE),VLOOKUP(年金所得計算シート!A37,年金所得計算シート!B37:C41,2,TRUE))</f>
        <v>0</v>
      </c>
      <c r="I37" s="26">
        <f>IF(E37&gt;0,H37-150000,H37)</f>
        <v>0</v>
      </c>
      <c r="J37" s="26">
        <f>IF(I37&lt;0,0,I37)</f>
        <v>0</v>
      </c>
    </row>
    <row r="38" spans="1:10">
      <c r="A38" s="25"/>
      <c r="B38" s="1">
        <v>701000</v>
      </c>
      <c r="C38" s="1">
        <f>A37-600000</f>
        <v>-600000</v>
      </c>
      <c r="E38" s="25"/>
      <c r="F38" s="1">
        <v>1101000</v>
      </c>
      <c r="G38" s="1">
        <f>E37-1100000</f>
        <v>-1100000</v>
      </c>
    </row>
    <row r="39" spans="1:10">
      <c r="B39" s="2">
        <v>1300000</v>
      </c>
      <c r="C39" s="2">
        <f>A37*0.75-275000</f>
        <v>-275000</v>
      </c>
      <c r="F39" s="2">
        <v>3300000</v>
      </c>
      <c r="G39" s="2">
        <f>ROUNDDOWN(E37*0.75-275000,0)</f>
        <v>-275000</v>
      </c>
    </row>
    <row r="40" spans="1:10">
      <c r="B40" s="1">
        <v>4100000</v>
      </c>
      <c r="C40" s="1">
        <f>A37*0.85-685000</f>
        <v>-685000</v>
      </c>
      <c r="F40" s="1">
        <v>4100000</v>
      </c>
      <c r="G40" s="1">
        <f>ROUNDDOWN(E37*0.85-685000,0)</f>
        <v>-685000</v>
      </c>
    </row>
    <row r="41" spans="1:10">
      <c r="B41" s="1">
        <v>7700000</v>
      </c>
      <c r="C41" s="1">
        <f>A37*0.95-1455000</f>
        <v>-1455000</v>
      </c>
      <c r="F41" s="1">
        <v>7700000</v>
      </c>
      <c r="G41" s="1">
        <f>ROUNDDOWN(E37*0.95-1455000,0)</f>
        <v>-1455000</v>
      </c>
    </row>
    <row r="43" spans="1:10">
      <c r="A43" s="23" t="s">
        <v>4</v>
      </c>
      <c r="B43" s="23" t="s">
        <v>2</v>
      </c>
      <c r="C43" s="23" t="s">
        <v>3</v>
      </c>
      <c r="E43" s="23" t="s">
        <v>5</v>
      </c>
      <c r="F43" s="23" t="s">
        <v>2</v>
      </c>
      <c r="G43" s="23" t="s">
        <v>3</v>
      </c>
    </row>
    <row r="44" spans="1:10">
      <c r="A44" s="26">
        <f>IF('Ｒ８国保税額試算シート'!B21=リスト!F4,0,'Ｒ８国保税額試算シート'!I20)</f>
        <v>0</v>
      </c>
      <c r="B44" s="23">
        <v>0</v>
      </c>
      <c r="C44" s="23">
        <v>0</v>
      </c>
      <c r="E44" s="26">
        <f>IF('Ｒ８国保税額試算シート'!B21=リスト!F4,'Ｒ８国保税額試算シート'!I20,0)</f>
        <v>0</v>
      </c>
      <c r="F44" s="23">
        <v>0</v>
      </c>
      <c r="G44" s="23">
        <v>0</v>
      </c>
      <c r="H44" s="26">
        <f>IF('Ｒ８国保税額試算シート'!B21=リスト!F4,VLOOKUP(年金所得計算シート!E44,年金所得計算シート!F44:G48,2,TRUE),VLOOKUP(年金所得計算シート!A44,年金所得計算シート!B44:C48,2,TRUE))</f>
        <v>0</v>
      </c>
      <c r="I44" s="26">
        <f>IF(E44&gt;0,H44-150000,H44)</f>
        <v>0</v>
      </c>
      <c r="J44" s="26">
        <f>IF(I44&lt;0,0,I44)</f>
        <v>0</v>
      </c>
    </row>
    <row r="45" spans="1:10">
      <c r="A45" s="25"/>
      <c r="B45" s="1">
        <v>701000</v>
      </c>
      <c r="C45" s="1">
        <f>A44-600000</f>
        <v>-600000</v>
      </c>
      <c r="E45" s="25"/>
      <c r="F45" s="1">
        <v>1101000</v>
      </c>
      <c r="G45" s="1">
        <f>E44-1100000</f>
        <v>-1100000</v>
      </c>
    </row>
    <row r="46" spans="1:10">
      <c r="B46" s="2">
        <v>1300000</v>
      </c>
      <c r="C46" s="2">
        <f>A44*0.75-275000</f>
        <v>-275000</v>
      </c>
      <c r="F46" s="2">
        <v>3300000</v>
      </c>
      <c r="G46" s="2">
        <f>ROUNDDOWN(E44*0.75-275000,0)</f>
        <v>-275000</v>
      </c>
    </row>
    <row r="47" spans="1:10">
      <c r="B47" s="1">
        <v>4100000</v>
      </c>
      <c r="C47" s="1">
        <f>A44*0.85-685000</f>
        <v>-685000</v>
      </c>
      <c r="F47" s="1">
        <v>4100000</v>
      </c>
      <c r="G47" s="1">
        <f>ROUNDDOWN(E44*0.85-685000,0)</f>
        <v>-685000</v>
      </c>
    </row>
    <row r="48" spans="1:10">
      <c r="B48" s="1">
        <v>7700000</v>
      </c>
      <c r="C48" s="1">
        <f>A44*0.95-1455000</f>
        <v>-1455000</v>
      </c>
      <c r="F48" s="1">
        <v>7700000</v>
      </c>
      <c r="G48" s="1">
        <f>ROUNDDOWN(E44*0.95-1455000,0)</f>
        <v>-1455000</v>
      </c>
    </row>
  </sheetData>
  <phoneticPr fontId="3"/>
  <pageMargins left="0.7" right="0.7" top="0.75" bottom="0.75"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55"/>
  <sheetViews>
    <sheetView zoomScaleNormal="100" workbookViewId="0">
      <selection activeCell="E24" sqref="E24:F24"/>
    </sheetView>
  </sheetViews>
  <sheetFormatPr defaultRowHeight="13.5"/>
  <cols>
    <col min="1" max="1" width="9.5" bestFit="1" customWidth="1"/>
    <col min="2" max="2" width="11.75" bestFit="1" customWidth="1"/>
    <col min="3" max="3" width="12.875" customWidth="1"/>
    <col min="4" max="4" width="12.875" bestFit="1" customWidth="1"/>
    <col min="5" max="5" width="18.375" bestFit="1" customWidth="1"/>
    <col min="6" max="6" width="16.125" style="23" bestFit="1" customWidth="1"/>
    <col min="7" max="7" width="15.5" customWidth="1"/>
    <col min="8" max="8" width="14.5" customWidth="1"/>
  </cols>
  <sheetData>
    <row r="1" spans="1:8">
      <c r="A1" t="s">
        <v>39</v>
      </c>
      <c r="B1" t="s">
        <v>0</v>
      </c>
      <c r="C1" t="s">
        <v>1</v>
      </c>
      <c r="D1" s="32" t="s">
        <v>47</v>
      </c>
      <c r="E1" t="s">
        <v>49</v>
      </c>
      <c r="F1" s="23" t="s">
        <v>71</v>
      </c>
      <c r="G1" s="32"/>
      <c r="H1" s="32"/>
    </row>
    <row r="2" spans="1:8">
      <c r="A2" s="26">
        <f>'Ｒ８国保税額試算シート'!F8</f>
        <v>0</v>
      </c>
      <c r="B2" s="24">
        <v>0</v>
      </c>
      <c r="C2" s="24">
        <v>0</v>
      </c>
      <c r="D2" s="26">
        <f>ROUNDDOWN(VLOOKUP(A2,B2:C7,2,TRUE),0)</f>
        <v>0</v>
      </c>
      <c r="E2" s="26">
        <f>D2*30/100</f>
        <v>0</v>
      </c>
      <c r="F2" s="26">
        <f>IF('Ｒ８国保税額試算シート'!H8=リスト!H$2,E2,D2)</f>
        <v>0</v>
      </c>
      <c r="G2" s="25"/>
      <c r="H2" s="25"/>
    </row>
    <row r="3" spans="1:8">
      <c r="A3" s="23"/>
      <c r="B3" s="170">
        <v>651000</v>
      </c>
      <c r="C3" s="170">
        <f>A2-650000</f>
        <v>-650000</v>
      </c>
      <c r="D3" s="23"/>
      <c r="E3" s="23"/>
      <c r="G3" t="s">
        <v>173</v>
      </c>
    </row>
    <row r="4" spans="1:8">
      <c r="A4" s="23"/>
      <c r="B4" s="170">
        <v>1900000</v>
      </c>
      <c r="C4" s="1">
        <f>2.8*ROUNDDOWN(A2/4,-3)-80000</f>
        <v>-80000</v>
      </c>
      <c r="D4" s="23"/>
      <c r="E4" s="23"/>
    </row>
    <row r="5" spans="1:8">
      <c r="A5" s="23"/>
      <c r="B5" s="1">
        <v>3600000</v>
      </c>
      <c r="C5" s="1">
        <f>3.2*ROUNDDOWN(A2/4,-3)-440000</f>
        <v>-440000</v>
      </c>
      <c r="D5" s="23"/>
      <c r="E5" s="23"/>
    </row>
    <row r="6" spans="1:8">
      <c r="A6" s="23"/>
      <c r="B6" s="1">
        <v>6600000</v>
      </c>
      <c r="C6" s="1">
        <f>A2*0.9-1100000</f>
        <v>-1100000</v>
      </c>
      <c r="D6" s="23"/>
      <c r="E6" s="23"/>
    </row>
    <row r="7" spans="1:8">
      <c r="A7" s="23"/>
      <c r="B7" s="1">
        <v>8500000</v>
      </c>
      <c r="C7" s="1">
        <f>A2-1950000</f>
        <v>-1950000</v>
      </c>
      <c r="D7" s="23"/>
      <c r="E7" s="23"/>
    </row>
    <row r="8" spans="1:8">
      <c r="A8" s="23"/>
      <c r="B8" s="23"/>
      <c r="C8" s="23"/>
      <c r="D8" s="23"/>
      <c r="E8" s="23"/>
    </row>
    <row r="9" spans="1:8">
      <c r="A9" s="23" t="s">
        <v>40</v>
      </c>
      <c r="B9" s="23" t="s">
        <v>0</v>
      </c>
      <c r="C9" s="23" t="s">
        <v>1</v>
      </c>
      <c r="D9" s="23" t="s">
        <v>46</v>
      </c>
      <c r="E9" s="23" t="s">
        <v>48</v>
      </c>
      <c r="F9" s="23" t="s">
        <v>71</v>
      </c>
    </row>
    <row r="10" spans="1:8">
      <c r="A10" s="26">
        <f>'Ｒ８国保税額試算シート'!F10</f>
        <v>0</v>
      </c>
      <c r="B10" s="24">
        <v>0</v>
      </c>
      <c r="C10" s="24">
        <v>0</v>
      </c>
      <c r="D10" s="26">
        <f>ROUNDDOWN(VLOOKUP(A10,B10:C15,2,TRUE),0)</f>
        <v>0</v>
      </c>
      <c r="E10" s="26">
        <f>D10*30/100</f>
        <v>0</v>
      </c>
      <c r="F10" s="26">
        <f>IF('Ｒ８国保税額試算シート'!H10=リスト!H$2,E10,D10)</f>
        <v>0</v>
      </c>
    </row>
    <row r="11" spans="1:8">
      <c r="A11" s="23"/>
      <c r="B11" s="22">
        <v>651000</v>
      </c>
      <c r="C11" s="1">
        <f>A10-650000</f>
        <v>-650000</v>
      </c>
      <c r="D11" s="23"/>
      <c r="E11" s="23"/>
    </row>
    <row r="12" spans="1:8">
      <c r="A12" s="23"/>
      <c r="B12" s="1">
        <v>1900000</v>
      </c>
      <c r="C12" s="1">
        <f>2.8*ROUNDDOWN(A10/4,-3)-80000</f>
        <v>-80000</v>
      </c>
      <c r="D12" s="23"/>
      <c r="E12" s="23"/>
    </row>
    <row r="13" spans="1:8">
      <c r="A13" s="23"/>
      <c r="B13" s="1">
        <v>3600000</v>
      </c>
      <c r="C13" s="1">
        <f>3.2*ROUNDDOWN(A10/4,-3)-440000</f>
        <v>-440000</v>
      </c>
      <c r="D13" s="23"/>
      <c r="E13" s="23"/>
    </row>
    <row r="14" spans="1:8">
      <c r="A14" s="23"/>
      <c r="B14" s="1">
        <v>6600000</v>
      </c>
      <c r="C14" s="1">
        <f>A10*0.9-1100000</f>
        <v>-1100000</v>
      </c>
      <c r="D14" s="23"/>
      <c r="E14" s="23"/>
    </row>
    <row r="15" spans="1:8">
      <c r="A15" s="23"/>
      <c r="B15" s="1">
        <v>8500000</v>
      </c>
      <c r="C15" s="1">
        <f>A10-1950000</f>
        <v>-1950000</v>
      </c>
      <c r="D15" s="23"/>
      <c r="E15" s="23"/>
    </row>
    <row r="16" spans="1:8">
      <c r="A16" s="25"/>
      <c r="B16" s="19"/>
      <c r="C16" s="19"/>
      <c r="D16" s="25"/>
      <c r="E16" s="23"/>
    </row>
    <row r="17" spans="1:6">
      <c r="A17" s="23" t="s">
        <v>41</v>
      </c>
      <c r="B17" s="23" t="s">
        <v>0</v>
      </c>
      <c r="C17" s="23" t="s">
        <v>1</v>
      </c>
      <c r="D17" s="23" t="s">
        <v>46</v>
      </c>
      <c r="E17" s="23" t="s">
        <v>48</v>
      </c>
      <c r="F17" s="23" t="s">
        <v>71</v>
      </c>
    </row>
    <row r="18" spans="1:6">
      <c r="A18" s="26">
        <f>'Ｒ８国保税額試算シート'!F12</f>
        <v>0</v>
      </c>
      <c r="B18" s="24">
        <v>0</v>
      </c>
      <c r="C18" s="24">
        <v>0</v>
      </c>
      <c r="D18" s="26">
        <f>ROUNDDOWN(VLOOKUP(A18,B18:C23,2,TRUE),0)</f>
        <v>0</v>
      </c>
      <c r="E18" s="26">
        <f>D18*30/100</f>
        <v>0</v>
      </c>
      <c r="F18" s="26">
        <f>IF('Ｒ８国保税額試算シート'!H12=リスト!H$2,E18,D18)</f>
        <v>0</v>
      </c>
    </row>
    <row r="19" spans="1:6">
      <c r="A19" s="23"/>
      <c r="B19" s="22">
        <v>651000</v>
      </c>
      <c r="C19" s="1">
        <f>A18-650000</f>
        <v>-650000</v>
      </c>
      <c r="D19" s="23"/>
      <c r="E19" s="23"/>
    </row>
    <row r="20" spans="1:6">
      <c r="A20" s="23"/>
      <c r="B20" s="1">
        <v>1900000</v>
      </c>
      <c r="C20" s="1">
        <f>2.8*ROUNDDOWN(A18/4,-3)-80000</f>
        <v>-80000</v>
      </c>
      <c r="D20" s="23"/>
      <c r="E20" s="23"/>
    </row>
    <row r="21" spans="1:6">
      <c r="A21" s="23"/>
      <c r="B21" s="1">
        <v>3600000</v>
      </c>
      <c r="C21" s="1">
        <f>3.2*ROUNDDOWN(A18/4,-3)-440000</f>
        <v>-440000</v>
      </c>
      <c r="D21" s="23"/>
      <c r="E21" s="23"/>
    </row>
    <row r="22" spans="1:6">
      <c r="A22" s="23"/>
      <c r="B22" s="1">
        <v>6600000</v>
      </c>
      <c r="C22" s="1">
        <f>A18*0.9-1100000</f>
        <v>-1100000</v>
      </c>
      <c r="D22" s="23"/>
      <c r="E22" s="23"/>
    </row>
    <row r="23" spans="1:6">
      <c r="A23" s="23"/>
      <c r="B23" s="1">
        <v>8500000</v>
      </c>
      <c r="C23" s="1">
        <f>A18-1950000</f>
        <v>-1950000</v>
      </c>
      <c r="D23" s="23"/>
      <c r="E23" s="23"/>
    </row>
    <row r="24" spans="1:6">
      <c r="A24" s="23"/>
      <c r="B24" s="23"/>
      <c r="C24" s="23"/>
      <c r="D24" s="23"/>
      <c r="E24" s="23"/>
    </row>
    <row r="25" spans="1:6">
      <c r="A25" s="23" t="s">
        <v>42</v>
      </c>
      <c r="B25" s="23" t="s">
        <v>0</v>
      </c>
      <c r="C25" s="23" t="s">
        <v>1</v>
      </c>
      <c r="D25" s="23" t="s">
        <v>46</v>
      </c>
      <c r="E25" s="23" t="s">
        <v>48</v>
      </c>
      <c r="F25" s="23" t="s">
        <v>71</v>
      </c>
    </row>
    <row r="26" spans="1:6">
      <c r="A26" s="26">
        <f>'Ｒ８国保税額試算シート'!F14</f>
        <v>0</v>
      </c>
      <c r="B26" s="24">
        <v>0</v>
      </c>
      <c r="C26" s="24">
        <v>0</v>
      </c>
      <c r="D26" s="26">
        <f>ROUNDDOWN(VLOOKUP(A26,B26:C31,2,TRUE),0)</f>
        <v>0</v>
      </c>
      <c r="E26" s="26">
        <f>D26*30/100</f>
        <v>0</v>
      </c>
      <c r="F26" s="26">
        <f>IF('Ｒ８国保税額試算シート'!H14=リスト!H$2,E26,D26)</f>
        <v>0</v>
      </c>
    </row>
    <row r="27" spans="1:6">
      <c r="A27" s="23"/>
      <c r="B27" s="22">
        <v>651000</v>
      </c>
      <c r="C27" s="1">
        <f>A26-650000</f>
        <v>-650000</v>
      </c>
      <c r="D27" s="23"/>
      <c r="E27" s="23"/>
    </row>
    <row r="28" spans="1:6">
      <c r="A28" s="23"/>
      <c r="B28" s="1">
        <v>1900000</v>
      </c>
      <c r="C28" s="1">
        <f>2.8*ROUNDDOWN(A26/4,-3)-80000</f>
        <v>-80000</v>
      </c>
      <c r="D28" s="23"/>
      <c r="E28" s="23"/>
    </row>
    <row r="29" spans="1:6">
      <c r="A29" s="23"/>
      <c r="B29" s="1">
        <v>3600000</v>
      </c>
      <c r="C29" s="1">
        <f>3.2*ROUNDDOWN(A26/4,-3)-440000</f>
        <v>-440000</v>
      </c>
      <c r="D29" s="23"/>
      <c r="E29" s="23"/>
    </row>
    <row r="30" spans="1:6">
      <c r="A30" s="23"/>
      <c r="B30" s="1">
        <v>6600000</v>
      </c>
      <c r="C30" s="1">
        <f>A26*0.9-1100000</f>
        <v>-1100000</v>
      </c>
      <c r="D30" s="23"/>
      <c r="E30" s="23"/>
    </row>
    <row r="31" spans="1:6">
      <c r="A31" s="23"/>
      <c r="B31" s="1">
        <v>8500000</v>
      </c>
      <c r="C31" s="1">
        <f>A26-1950000</f>
        <v>-1950000</v>
      </c>
      <c r="D31" s="23"/>
      <c r="E31" s="23"/>
    </row>
    <row r="32" spans="1:6">
      <c r="A32" s="23"/>
      <c r="B32" s="23"/>
      <c r="C32" s="23"/>
      <c r="D32" s="23"/>
      <c r="E32" s="23"/>
    </row>
    <row r="33" spans="1:6">
      <c r="A33" s="23" t="s">
        <v>43</v>
      </c>
      <c r="B33" s="23" t="s">
        <v>0</v>
      </c>
      <c r="C33" s="23" t="s">
        <v>1</v>
      </c>
      <c r="D33" s="23" t="s">
        <v>46</v>
      </c>
      <c r="E33" s="23" t="s">
        <v>48</v>
      </c>
      <c r="F33" s="23" t="s">
        <v>71</v>
      </c>
    </row>
    <row r="34" spans="1:6">
      <c r="A34" s="26">
        <f>'Ｒ８国保税額試算シート'!F16</f>
        <v>0</v>
      </c>
      <c r="B34" s="24">
        <v>0</v>
      </c>
      <c r="C34" s="24">
        <v>0</v>
      </c>
      <c r="D34" s="26">
        <f>ROUNDDOWN(VLOOKUP(A34,B34:C39,2,TRUE),0)</f>
        <v>0</v>
      </c>
      <c r="E34" s="26">
        <f>D34*30/100</f>
        <v>0</v>
      </c>
      <c r="F34" s="26">
        <f>IF('Ｒ８国保税額試算シート'!H16=リスト!H$2,E34,D34)</f>
        <v>0</v>
      </c>
    </row>
    <row r="35" spans="1:6">
      <c r="A35" s="23"/>
      <c r="B35" s="22">
        <v>651000</v>
      </c>
      <c r="C35" s="1">
        <f>A34-650000</f>
        <v>-650000</v>
      </c>
      <c r="D35" s="23"/>
      <c r="E35" s="23"/>
    </row>
    <row r="36" spans="1:6">
      <c r="A36" s="23"/>
      <c r="B36" s="1">
        <v>1900000</v>
      </c>
      <c r="C36" s="1">
        <f>2.8*ROUNDDOWN(A34/4,-3)-80000</f>
        <v>-80000</v>
      </c>
      <c r="D36" s="23"/>
      <c r="E36" s="23"/>
    </row>
    <row r="37" spans="1:6">
      <c r="A37" s="23"/>
      <c r="B37" s="1">
        <v>3600000</v>
      </c>
      <c r="C37" s="1">
        <f>3.2*ROUNDDOWN(A34/4,-3)-440000</f>
        <v>-440000</v>
      </c>
      <c r="D37" s="23"/>
      <c r="E37" s="23"/>
    </row>
    <row r="38" spans="1:6">
      <c r="A38" s="23"/>
      <c r="B38" s="1">
        <v>6600000</v>
      </c>
      <c r="C38" s="1">
        <f>A34*0.9-1100000</f>
        <v>-1100000</v>
      </c>
      <c r="D38" s="23"/>
      <c r="E38" s="23"/>
    </row>
    <row r="39" spans="1:6">
      <c r="A39" s="23"/>
      <c r="B39" s="1">
        <v>8500000</v>
      </c>
      <c r="C39" s="1">
        <f>A34-1950000</f>
        <v>-1950000</v>
      </c>
      <c r="D39" s="23"/>
      <c r="E39" s="23"/>
    </row>
    <row r="40" spans="1:6">
      <c r="A40" s="23"/>
      <c r="B40" s="23"/>
      <c r="C40" s="23"/>
      <c r="D40" s="23"/>
      <c r="E40" s="23"/>
    </row>
    <row r="41" spans="1:6">
      <c r="A41" s="23" t="s">
        <v>44</v>
      </c>
      <c r="B41" s="23" t="s">
        <v>0</v>
      </c>
      <c r="C41" s="23" t="s">
        <v>1</v>
      </c>
      <c r="D41" s="23" t="s">
        <v>46</v>
      </c>
      <c r="E41" s="23" t="s">
        <v>48</v>
      </c>
      <c r="F41" s="23" t="s">
        <v>71</v>
      </c>
    </row>
    <row r="42" spans="1:6">
      <c r="A42" s="26">
        <f>'Ｒ８国保税額試算シート'!F18</f>
        <v>0</v>
      </c>
      <c r="B42" s="24">
        <v>0</v>
      </c>
      <c r="C42" s="24">
        <v>0</v>
      </c>
      <c r="D42" s="26">
        <f>ROUNDDOWN(VLOOKUP(A42,B42:C47,2,TRUE),0)</f>
        <v>0</v>
      </c>
      <c r="E42" s="26">
        <f>D42*30/100</f>
        <v>0</v>
      </c>
      <c r="F42" s="26">
        <f>IF('Ｒ８国保税額試算シート'!H18=リスト!H$2,E42,D42)</f>
        <v>0</v>
      </c>
    </row>
    <row r="43" spans="1:6">
      <c r="A43" s="23"/>
      <c r="B43" s="22">
        <v>651000</v>
      </c>
      <c r="C43" s="1">
        <f>A42-650000</f>
        <v>-650000</v>
      </c>
      <c r="D43" s="23"/>
      <c r="E43" s="23"/>
    </row>
    <row r="44" spans="1:6">
      <c r="A44" s="23"/>
      <c r="B44" s="1">
        <v>1900000</v>
      </c>
      <c r="C44" s="1">
        <f>2.8*ROUNDDOWN(A42/4,-3)-80000</f>
        <v>-80000</v>
      </c>
      <c r="D44" s="23"/>
      <c r="E44" s="23"/>
    </row>
    <row r="45" spans="1:6">
      <c r="A45" s="23"/>
      <c r="B45" s="1">
        <v>3600000</v>
      </c>
      <c r="C45" s="1">
        <f>3.2*ROUNDDOWN(A42/4,-3)-440000</f>
        <v>-440000</v>
      </c>
      <c r="D45" s="23"/>
      <c r="E45" s="23"/>
    </row>
    <row r="46" spans="1:6">
      <c r="A46" s="23"/>
      <c r="B46" s="1">
        <v>6600000</v>
      </c>
      <c r="C46" s="1">
        <f>A42*0.9-1100000</f>
        <v>-1100000</v>
      </c>
      <c r="D46" s="23"/>
      <c r="E46" s="23"/>
    </row>
    <row r="47" spans="1:6">
      <c r="A47" s="23"/>
      <c r="B47" s="1">
        <v>8500000</v>
      </c>
      <c r="C47" s="1">
        <f>A42-1950000</f>
        <v>-1950000</v>
      </c>
      <c r="D47" s="23"/>
      <c r="E47" s="23"/>
    </row>
    <row r="48" spans="1:6">
      <c r="A48" s="23"/>
      <c r="B48" s="23"/>
      <c r="C48" s="23"/>
      <c r="D48" s="23"/>
      <c r="E48" s="23"/>
    </row>
    <row r="49" spans="1:6">
      <c r="A49" s="23" t="s">
        <v>45</v>
      </c>
      <c r="B49" s="23" t="s">
        <v>0</v>
      </c>
      <c r="C49" s="23" t="s">
        <v>1</v>
      </c>
      <c r="D49" s="23" t="s">
        <v>46</v>
      </c>
      <c r="E49" s="23" t="s">
        <v>48</v>
      </c>
      <c r="F49" s="23" t="s">
        <v>71</v>
      </c>
    </row>
    <row r="50" spans="1:6">
      <c r="A50" s="26">
        <f>'Ｒ８国保税額試算シート'!F20</f>
        <v>0</v>
      </c>
      <c r="B50" s="24">
        <v>0</v>
      </c>
      <c r="C50" s="24">
        <v>0</v>
      </c>
      <c r="D50" s="26">
        <f>ROUNDDOWN(VLOOKUP(A50,B50:C55,2,TRUE),0)</f>
        <v>0</v>
      </c>
      <c r="E50" s="26">
        <f>D50*30/100</f>
        <v>0</v>
      </c>
      <c r="F50" s="26">
        <f>IF('Ｒ８国保税額試算シート'!H20=リスト!H$2,E50,D50)</f>
        <v>0</v>
      </c>
    </row>
    <row r="51" spans="1:6">
      <c r="A51" s="23"/>
      <c r="B51" s="22">
        <v>651000</v>
      </c>
      <c r="C51" s="1">
        <f>A50-650000</f>
        <v>-650000</v>
      </c>
      <c r="D51" s="23"/>
      <c r="E51" s="23"/>
    </row>
    <row r="52" spans="1:6">
      <c r="A52" s="23"/>
      <c r="B52" s="1">
        <v>1900000</v>
      </c>
      <c r="C52" s="1">
        <f>2.8*ROUNDDOWN(A50/4,-3)-80000</f>
        <v>-80000</v>
      </c>
      <c r="D52" s="23"/>
      <c r="E52" s="23"/>
    </row>
    <row r="53" spans="1:6">
      <c r="A53" s="23"/>
      <c r="B53" s="1">
        <v>3600000</v>
      </c>
      <c r="C53" s="1">
        <f>3.2*ROUNDDOWN(A50/4,-3)-440000</f>
        <v>-440000</v>
      </c>
      <c r="D53" s="23"/>
      <c r="E53" s="23"/>
    </row>
    <row r="54" spans="1:6">
      <c r="A54" s="23"/>
      <c r="B54" s="1">
        <v>6600000</v>
      </c>
      <c r="C54" s="1">
        <f>A50*0.9-1100000</f>
        <v>-1100000</v>
      </c>
      <c r="D54" s="23"/>
      <c r="E54" s="23"/>
    </row>
    <row r="55" spans="1:6">
      <c r="A55" s="23"/>
      <c r="B55" s="1">
        <v>8500000</v>
      </c>
      <c r="C55" s="1">
        <f>A50-1950000</f>
        <v>-1950000</v>
      </c>
      <c r="D55" s="23"/>
      <c r="E55" s="23"/>
    </row>
  </sheetData>
  <phoneticPr fontId="3"/>
  <pageMargins left="0.7" right="0.7" top="0.75" bottom="0.75" header="0.3" footer="0.3"/>
  <pageSetup paperSize="9" orientation="portrait" verticalDpi="0" r:id="rId1"/>
  <rowBreaks count="1" manualBreakCount="1">
    <brk id="3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27"/>
  <sheetViews>
    <sheetView zoomScaleNormal="100" workbookViewId="0">
      <selection activeCell="E24" sqref="E24:F24"/>
    </sheetView>
  </sheetViews>
  <sheetFormatPr defaultRowHeight="13.5"/>
  <cols>
    <col min="1" max="1" width="6.75" customWidth="1"/>
    <col min="2" max="2" width="10" customWidth="1"/>
    <col min="3" max="3" width="17.25" bestFit="1" customWidth="1"/>
    <col min="4" max="4" width="16.75" customWidth="1"/>
    <col min="5" max="5" width="18.625" bestFit="1" customWidth="1"/>
    <col min="6" max="6" width="19.75" bestFit="1" customWidth="1"/>
    <col min="8" max="8" width="18.375" bestFit="1" customWidth="1"/>
    <col min="12" max="14" width="13.875" bestFit="1" customWidth="1"/>
    <col min="15" max="15" width="14.125" customWidth="1"/>
  </cols>
  <sheetData>
    <row r="1" spans="1:15">
      <c r="A1" s="5" t="s">
        <v>11</v>
      </c>
      <c r="D1" t="s">
        <v>126</v>
      </c>
      <c r="E1" t="s">
        <v>13</v>
      </c>
      <c r="F1" t="s">
        <v>12</v>
      </c>
      <c r="H1" t="s">
        <v>17</v>
      </c>
      <c r="J1" s="412" t="s">
        <v>73</v>
      </c>
      <c r="K1" s="412"/>
      <c r="L1" t="s">
        <v>76</v>
      </c>
      <c r="M1" t="s">
        <v>77</v>
      </c>
      <c r="N1" t="s">
        <v>78</v>
      </c>
      <c r="O1" t="s">
        <v>160</v>
      </c>
    </row>
    <row r="2" spans="1:15" ht="14.25">
      <c r="A2" s="4">
        <v>4</v>
      </c>
      <c r="B2">
        <v>12</v>
      </c>
      <c r="D2" t="s">
        <v>113</v>
      </c>
      <c r="E2" t="s">
        <v>14</v>
      </c>
      <c r="F2" t="s">
        <v>14</v>
      </c>
      <c r="H2" t="s">
        <v>18</v>
      </c>
      <c r="J2" s="412" t="s">
        <v>74</v>
      </c>
      <c r="K2" t="s">
        <v>149</v>
      </c>
      <c r="L2" s="88">
        <f>-'Ｒ８国保税額試算シート'!T$11*0.7</f>
        <v>-18200</v>
      </c>
      <c r="M2" s="88">
        <f>-'Ｒ８国保税額試算シート'!Y$11*0.7</f>
        <v>-11200</v>
      </c>
      <c r="N2" s="88">
        <f>-'Ｒ８国保税額試算シート'!AD$11*0.7</f>
        <v>-11060</v>
      </c>
      <c r="O2" s="88">
        <f>-'Ｒ８国保税額試算シート'!AI$11*0.7</f>
        <v>-1120</v>
      </c>
    </row>
    <row r="3" spans="1:15" ht="14.25">
      <c r="A3" s="4">
        <v>5</v>
      </c>
      <c r="B3">
        <v>11</v>
      </c>
      <c r="D3" t="s">
        <v>114</v>
      </c>
      <c r="E3" t="s">
        <v>15</v>
      </c>
      <c r="F3" t="s">
        <v>15</v>
      </c>
      <c r="H3" t="s">
        <v>19</v>
      </c>
      <c r="J3" s="412"/>
      <c r="K3" t="s">
        <v>148</v>
      </c>
      <c r="L3" s="88">
        <f>-'Ｒ８国保税額試算シート'!T$11*0.5</f>
        <v>-13000</v>
      </c>
      <c r="M3" s="88">
        <f>-'Ｒ８国保税額試算シート'!Y$11*0.5</f>
        <v>-8000</v>
      </c>
      <c r="N3" s="88">
        <f>-'Ｒ８国保税額試算シート'!AD$11*0.5</f>
        <v>-7900</v>
      </c>
      <c r="O3" s="88">
        <f>-'Ｒ８国保税額試算シート'!AI$11*0.5</f>
        <v>-800</v>
      </c>
    </row>
    <row r="4" spans="1:15" ht="14.25">
      <c r="A4" s="4">
        <v>6</v>
      </c>
      <c r="B4">
        <v>10</v>
      </c>
      <c r="D4" t="s">
        <v>115</v>
      </c>
      <c r="E4" t="s">
        <v>16</v>
      </c>
      <c r="F4" t="s">
        <v>16</v>
      </c>
      <c r="J4" s="412"/>
      <c r="K4" t="s">
        <v>150</v>
      </c>
      <c r="L4" s="88">
        <f>-'Ｒ８国保税額試算シート'!T$11*0.2</f>
        <v>-5200</v>
      </c>
      <c r="M4" s="88">
        <f>-'Ｒ８国保税額試算シート'!Y$11*0.2</f>
        <v>-3200</v>
      </c>
      <c r="N4" s="88">
        <f>-'Ｒ８国保税額試算シート'!AD$11*0.2</f>
        <v>-3160</v>
      </c>
      <c r="O4" s="88">
        <f>-'Ｒ８国保税額試算シート'!AI$11*0.2</f>
        <v>-320</v>
      </c>
    </row>
    <row r="5" spans="1:15" ht="14.25">
      <c r="A5" s="4">
        <v>7</v>
      </c>
      <c r="B5">
        <v>9</v>
      </c>
      <c r="D5" t="s">
        <v>116</v>
      </c>
      <c r="E5" t="s">
        <v>125</v>
      </c>
      <c r="J5" s="412"/>
      <c r="K5" t="s">
        <v>79</v>
      </c>
      <c r="L5" s="89">
        <v>0</v>
      </c>
      <c r="M5" s="89">
        <v>0</v>
      </c>
      <c r="N5" s="89">
        <v>0</v>
      </c>
      <c r="O5" s="89">
        <v>0</v>
      </c>
    </row>
    <row r="6" spans="1:15" ht="14.25">
      <c r="A6" s="4">
        <v>8</v>
      </c>
      <c r="B6">
        <v>8</v>
      </c>
      <c r="D6" t="s">
        <v>117</v>
      </c>
      <c r="J6" s="412" t="s">
        <v>75</v>
      </c>
      <c r="K6" t="s">
        <v>149</v>
      </c>
      <c r="L6" s="88">
        <f>-'Ｒ８国保税額試算シート'!T$17*0.7</f>
        <v>-18550</v>
      </c>
    </row>
    <row r="7" spans="1:15" ht="14.25">
      <c r="A7" s="4">
        <v>9</v>
      </c>
      <c r="B7">
        <v>7</v>
      </c>
      <c r="D7" t="s">
        <v>118</v>
      </c>
      <c r="J7" s="412"/>
      <c r="K7" t="s">
        <v>148</v>
      </c>
      <c r="L7" s="88">
        <f>-'Ｒ８国保税額試算シート'!T$17*0.5</f>
        <v>-13250</v>
      </c>
    </row>
    <row r="8" spans="1:15" ht="14.25">
      <c r="A8" s="4">
        <v>10</v>
      </c>
      <c r="B8">
        <v>6</v>
      </c>
      <c r="J8" s="412"/>
      <c r="K8" t="s">
        <v>150</v>
      </c>
      <c r="L8" s="88">
        <f>-'Ｒ８国保税額試算シート'!T$17*0.2</f>
        <v>-5300</v>
      </c>
    </row>
    <row r="9" spans="1:15" ht="14.25">
      <c r="A9" s="4">
        <v>11</v>
      </c>
      <c r="B9">
        <v>5</v>
      </c>
      <c r="J9" s="412"/>
      <c r="K9" t="s">
        <v>79</v>
      </c>
      <c r="L9" s="89">
        <v>0</v>
      </c>
    </row>
    <row r="10" spans="1:15" ht="14.25">
      <c r="A10" s="4">
        <v>12</v>
      </c>
      <c r="B10">
        <v>4</v>
      </c>
    </row>
    <row r="11" spans="1:15" ht="14.25">
      <c r="A11" s="4">
        <v>1</v>
      </c>
      <c r="B11">
        <v>3</v>
      </c>
      <c r="H11" t="s">
        <v>119</v>
      </c>
      <c r="J11" s="412" t="s">
        <v>73</v>
      </c>
      <c r="K11" s="412"/>
      <c r="L11" t="s">
        <v>76</v>
      </c>
      <c r="M11" t="s">
        <v>77</v>
      </c>
      <c r="O11" t="s">
        <v>160</v>
      </c>
    </row>
    <row r="12" spans="1:15" ht="14.25">
      <c r="A12" s="4">
        <v>2</v>
      </c>
      <c r="B12">
        <v>2</v>
      </c>
      <c r="H12" t="s">
        <v>120</v>
      </c>
      <c r="J12" s="413" t="s">
        <v>124</v>
      </c>
      <c r="K12" t="s">
        <v>149</v>
      </c>
      <c r="L12" s="88">
        <f>-'Ｒ８国保税額試算シート'!T$11*0.3*0.5</f>
        <v>-3900</v>
      </c>
      <c r="M12" s="88">
        <f>-'Ｒ８国保税額試算シート'!Y$11*0.3*0.5</f>
        <v>-2400</v>
      </c>
      <c r="O12" s="88">
        <f>-'Ｒ８国保税額試算シート'!AI$11*0.3</f>
        <v>-480</v>
      </c>
    </row>
    <row r="13" spans="1:15" ht="14.25">
      <c r="A13" s="4">
        <v>3</v>
      </c>
      <c r="B13">
        <v>1</v>
      </c>
      <c r="J13" s="412"/>
      <c r="K13" t="s">
        <v>148</v>
      </c>
      <c r="L13" s="88">
        <f>-'Ｒ８国保税額試算シート'!T$11*0.5*0.5</f>
        <v>-6500</v>
      </c>
      <c r="M13" s="88">
        <f>-'Ｒ８国保税額試算シート'!Y$11*0.5*0.5</f>
        <v>-4000</v>
      </c>
      <c r="O13" s="88">
        <f>-'Ｒ８国保税額試算シート'!AI$11*0.5</f>
        <v>-800</v>
      </c>
    </row>
    <row r="14" spans="1:15">
      <c r="J14" s="412"/>
      <c r="K14" t="s">
        <v>150</v>
      </c>
      <c r="L14" s="88">
        <f>-'Ｒ８国保税額試算シート'!T$11*0.8*0.5</f>
        <v>-10400</v>
      </c>
      <c r="M14" s="88">
        <f>-'Ｒ８国保税額試算シート'!Y$11*0.8*0.5</f>
        <v>-6400</v>
      </c>
      <c r="O14" s="88">
        <f>-'Ｒ８国保税額試算シート'!AI$11*0.8</f>
        <v>-1280</v>
      </c>
    </row>
    <row r="15" spans="1:15">
      <c r="A15" t="s">
        <v>104</v>
      </c>
      <c r="B15" s="5" t="s">
        <v>97</v>
      </c>
      <c r="D15" t="s">
        <v>105</v>
      </c>
      <c r="J15" s="412"/>
      <c r="K15" t="s">
        <v>19</v>
      </c>
      <c r="L15" s="88">
        <f>-'Ｒ８国保税額試算シート'!T$11*0.5</f>
        <v>-13000</v>
      </c>
      <c r="M15" s="88">
        <f>-'Ｒ８国保税額試算シート'!Y$11*0.5</f>
        <v>-8000</v>
      </c>
      <c r="O15" s="88">
        <f>-'Ｒ８国保税額試算シート'!AI$11</f>
        <v>-1600</v>
      </c>
    </row>
    <row r="16" spans="1:15" ht="14.25">
      <c r="A16" s="4">
        <v>4</v>
      </c>
      <c r="B16" t="s">
        <v>88</v>
      </c>
      <c r="D16">
        <v>8</v>
      </c>
    </row>
    <row r="17" spans="1:4" ht="14.25">
      <c r="A17" s="4">
        <v>5</v>
      </c>
      <c r="B17" t="s">
        <v>88</v>
      </c>
      <c r="D17">
        <v>8</v>
      </c>
    </row>
    <row r="18" spans="1:4" ht="14.25">
      <c r="A18" s="4">
        <v>6</v>
      </c>
      <c r="B18" t="s">
        <v>88</v>
      </c>
      <c r="D18">
        <v>8</v>
      </c>
    </row>
    <row r="19" spans="1:4" ht="14.25">
      <c r="A19" s="4">
        <v>7</v>
      </c>
      <c r="B19" t="s">
        <v>89</v>
      </c>
      <c r="D19">
        <v>7</v>
      </c>
    </row>
    <row r="20" spans="1:4" ht="14.25">
      <c r="A20" s="4">
        <v>8</v>
      </c>
      <c r="B20" t="s">
        <v>90</v>
      </c>
      <c r="D20">
        <v>6</v>
      </c>
    </row>
    <row r="21" spans="1:4" ht="14.25">
      <c r="A21" s="4">
        <v>9</v>
      </c>
      <c r="B21" t="s">
        <v>91</v>
      </c>
      <c r="D21">
        <v>5</v>
      </c>
    </row>
    <row r="22" spans="1:4" ht="14.25">
      <c r="A22" s="4">
        <v>10</v>
      </c>
      <c r="B22" t="s">
        <v>92</v>
      </c>
      <c r="D22">
        <v>4</v>
      </c>
    </row>
    <row r="23" spans="1:4" ht="14.25">
      <c r="A23" s="4">
        <v>11</v>
      </c>
      <c r="B23" t="s">
        <v>93</v>
      </c>
      <c r="D23">
        <v>3</v>
      </c>
    </row>
    <row r="24" spans="1:4" ht="14.25">
      <c r="A24" s="4">
        <v>12</v>
      </c>
      <c r="B24" t="s">
        <v>94</v>
      </c>
      <c r="D24">
        <v>2</v>
      </c>
    </row>
    <row r="25" spans="1:4" ht="14.25">
      <c r="A25" s="4">
        <v>1</v>
      </c>
      <c r="B25" t="s">
        <v>95</v>
      </c>
      <c r="D25">
        <v>1</v>
      </c>
    </row>
    <row r="26" spans="1:4" ht="14.25">
      <c r="A26" s="4">
        <v>2</v>
      </c>
      <c r="B26" t="s">
        <v>96</v>
      </c>
      <c r="C26" s="106">
        <v>46477</v>
      </c>
      <c r="D26" t="s">
        <v>106</v>
      </c>
    </row>
    <row r="27" spans="1:4" ht="14.25">
      <c r="A27" s="4">
        <v>3</v>
      </c>
      <c r="B27" t="s">
        <v>96</v>
      </c>
      <c r="C27" s="106">
        <v>46507</v>
      </c>
      <c r="D27" t="s">
        <v>107</v>
      </c>
    </row>
  </sheetData>
  <mergeCells count="5">
    <mergeCell ref="J1:K1"/>
    <mergeCell ref="J6:J9"/>
    <mergeCell ref="J2:J5"/>
    <mergeCell ref="J11:K11"/>
    <mergeCell ref="J12:J15"/>
  </mergeCells>
  <phoneticPr fontId="3"/>
  <pageMargins left="0.7" right="0.7" top="0.75" bottom="0.75" header="0.3" footer="0.3"/>
  <pageSetup paperSize="9"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66"/>
  </sheetPr>
  <dimension ref="A1:E7"/>
  <sheetViews>
    <sheetView workbookViewId="0">
      <selection activeCell="E24" sqref="E24:F24"/>
    </sheetView>
  </sheetViews>
  <sheetFormatPr defaultRowHeight="13.5"/>
  <cols>
    <col min="1" max="1" width="2.625" customWidth="1"/>
    <col min="2" max="2" width="19.875" customWidth="1"/>
    <col min="3" max="3" width="105.875" customWidth="1"/>
  </cols>
  <sheetData>
    <row r="1" spans="1:5">
      <c r="C1" s="51" t="s">
        <v>174</v>
      </c>
    </row>
    <row r="2" spans="1:5" ht="19.5" customHeight="1">
      <c r="A2" s="119" t="s">
        <v>151</v>
      </c>
    </row>
    <row r="3" spans="1:5" ht="67.5">
      <c r="A3" s="117">
        <v>1</v>
      </c>
      <c r="B3" s="117" t="s">
        <v>171</v>
      </c>
      <c r="C3" s="118" t="s">
        <v>175</v>
      </c>
    </row>
    <row r="4" spans="1:5">
      <c r="A4" s="117">
        <v>2</v>
      </c>
      <c r="B4" s="18" t="s">
        <v>141</v>
      </c>
      <c r="C4" s="168" t="s">
        <v>152</v>
      </c>
      <c r="D4" s="117"/>
      <c r="E4" s="117"/>
    </row>
    <row r="5" spans="1:5">
      <c r="A5" s="117">
        <v>3</v>
      </c>
      <c r="B5" s="171" t="s">
        <v>136</v>
      </c>
      <c r="C5" s="172" t="s">
        <v>172</v>
      </c>
    </row>
    <row r="6" spans="1:5">
      <c r="A6" s="117">
        <v>4</v>
      </c>
      <c r="B6" s="117" t="s">
        <v>137</v>
      </c>
      <c r="C6" s="118" t="s">
        <v>140</v>
      </c>
    </row>
    <row r="7" spans="1:5">
      <c r="A7" s="117">
        <v>5</v>
      </c>
      <c r="B7" s="117" t="s">
        <v>142</v>
      </c>
      <c r="C7" s="118" t="s">
        <v>143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Ｒ８国保税額試算シート</vt:lpstr>
      <vt:lpstr>税額計算シート</vt:lpstr>
      <vt:lpstr>年金所得計算シート</vt:lpstr>
      <vt:lpstr>給与所得計算シート</vt:lpstr>
      <vt:lpstr>リスト</vt:lpstr>
      <vt:lpstr>変更点</vt:lpstr>
      <vt:lpstr>'Ｒ８国保税額試算シート'!Print_Area</vt:lpstr>
      <vt:lpstr>税額計算シート!Print_Area</vt:lpstr>
      <vt:lpstr>擬制世帯主</vt:lpstr>
      <vt:lpstr>世帯区分</vt:lpstr>
      <vt:lpstr>普通世帯主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南房総市役所</dc:creator>
  <cp:lastModifiedBy>安田　結貴</cp:lastModifiedBy>
  <cp:lastPrinted>2026-03-18T07:19:19Z</cp:lastPrinted>
  <dcterms:created xsi:type="dcterms:W3CDTF">2016-06-23T05:09:17Z</dcterms:created>
  <dcterms:modified xsi:type="dcterms:W3CDTF">2026-04-02T06:21:46Z</dcterms:modified>
</cp:coreProperties>
</file>